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120" yWindow="-120" windowWidth="29040" windowHeight="16440" tabRatio="807"/>
  </bookViews>
  <sheets>
    <sheet name="1 " sheetId="108" r:id="rId1"/>
    <sheet name="2  " sheetId="112" r:id="rId2"/>
    <sheet name="3" sheetId="119" r:id="rId3"/>
    <sheet name="4" sheetId="120" r:id="rId4"/>
    <sheet name="5" sheetId="113" r:id="rId5"/>
    <sheet name="6" sheetId="121" r:id="rId6"/>
  </sheets>
  <externalReferences>
    <externalReference r:id="rId7"/>
    <externalReference r:id="rId8"/>
  </externalReferences>
  <definedNames>
    <definedName name="_xlnm._FilterDatabase" localSheetId="1" hidden="1">'2  '!$A$8:$F$105</definedName>
    <definedName name="_xlnm._FilterDatabase" localSheetId="2" hidden="1">'3'!$A$10:$H$269</definedName>
    <definedName name="_xlnm._FilterDatabase" localSheetId="3" hidden="1">'4'!$A$10:$I$11</definedName>
    <definedName name="_xlnm._FilterDatabase" localSheetId="4" hidden="1">'5'!$A$9:$F$9</definedName>
    <definedName name="_xlnm.Print_Area" localSheetId="0">'1 '!$A$1:$E$21</definedName>
    <definedName name="_xlnm.Print_Area" localSheetId="1">'2  '!$A$1:$F$103</definedName>
    <definedName name="_xlnm.Print_Area" localSheetId="2">'3'!$A$1:$H$977</definedName>
    <definedName name="_xlnm.Print_Area" localSheetId="3">'4'!$A$1:$J$997</definedName>
    <definedName name="_xlnm.Print_Area" localSheetId="4">'5'!$A$1:$F$333</definedName>
  </definedNames>
  <calcPr calcId="1445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612" i="119" l="1"/>
  <c r="D94" i="113"/>
  <c r="G880" i="120"/>
  <c r="D266" i="113"/>
  <c r="D50" i="113"/>
  <c r="D102" i="113"/>
  <c r="F55" i="119" l="1"/>
  <c r="F57" i="119"/>
  <c r="H28" i="121" l="1"/>
  <c r="F28" i="121" s="1"/>
  <c r="H30" i="121"/>
  <c r="H23" i="121"/>
  <c r="F23" i="121" s="1"/>
  <c r="H20" i="121"/>
  <c r="F20" i="121" s="1"/>
  <c r="M31" i="121"/>
  <c r="J31" i="121"/>
  <c r="L30" i="121"/>
  <c r="I30" i="121"/>
  <c r="F30" i="121"/>
  <c r="N28" i="121"/>
  <c r="L28" i="121"/>
  <c r="K28" i="121"/>
  <c r="I28" i="121" s="1"/>
  <c r="L25" i="121"/>
  <c r="I25" i="121"/>
  <c r="F25" i="121"/>
  <c r="N23" i="121"/>
  <c r="N31" i="121" s="1"/>
  <c r="L23" i="121"/>
  <c r="K23" i="121"/>
  <c r="K31" i="121" s="1"/>
  <c r="I23" i="121"/>
  <c r="L20" i="121"/>
  <c r="I20" i="121"/>
  <c r="L18" i="121"/>
  <c r="I18" i="121"/>
  <c r="G18" i="121"/>
  <c r="G31" i="121" s="1"/>
  <c r="F18" i="121"/>
  <c r="L15" i="121"/>
  <c r="L31" i="121" s="1"/>
  <c r="I15" i="121"/>
  <c r="F15" i="121"/>
  <c r="H31" i="121" l="1"/>
  <c r="F31" i="121"/>
  <c r="I31" i="121"/>
  <c r="C20" i="108" l="1"/>
  <c r="C19" i="108"/>
  <c r="D47" i="113" l="1"/>
  <c r="F832" i="119" l="1"/>
  <c r="F831" i="119" s="1"/>
  <c r="F828" i="119" s="1"/>
  <c r="D265" i="113"/>
  <c r="D332" i="113" s="1"/>
  <c r="D187" i="113"/>
  <c r="D15" i="113"/>
  <c r="F532" i="119"/>
  <c r="D81" i="113"/>
  <c r="G851" i="120" s="1"/>
  <c r="F610" i="119"/>
  <c r="D62" i="113"/>
  <c r="H360" i="120"/>
  <c r="I360" i="120"/>
  <c r="G360" i="120"/>
  <c r="G408" i="119"/>
  <c r="H408" i="119"/>
  <c r="F408" i="119"/>
  <c r="D181" i="113" l="1"/>
  <c r="D176" i="113"/>
  <c r="D168" i="113"/>
  <c r="D149" i="113"/>
  <c r="D292" i="113"/>
  <c r="F864" i="119"/>
  <c r="F866" i="119"/>
  <c r="D200" i="113"/>
  <c r="F298" i="119"/>
  <c r="F42" i="119"/>
  <c r="F40" i="119"/>
  <c r="F156" i="119"/>
  <c r="F158" i="119"/>
  <c r="F92" i="119"/>
  <c r="F94" i="119"/>
  <c r="D295" i="113"/>
  <c r="D302" i="113"/>
  <c r="D304" i="113"/>
  <c r="D249" i="113"/>
  <c r="D38" i="112"/>
  <c r="D27" i="112" l="1"/>
  <c r="D12" i="112" l="1"/>
  <c r="D26" i="112" l="1"/>
  <c r="D19" i="112"/>
  <c r="D35" i="112"/>
  <c r="D33" i="112"/>
  <c r="D24" i="112"/>
  <c r="D21" i="112"/>
  <c r="D17" i="112"/>
  <c r="D16" i="112"/>
  <c r="D64" i="112"/>
  <c r="D91" i="112"/>
  <c r="D86" i="112"/>
  <c r="D81" i="112"/>
  <c r="D78" i="112"/>
  <c r="D75" i="112"/>
  <c r="D62" i="112"/>
  <c r="F30" i="119" l="1"/>
  <c r="F32" i="119"/>
  <c r="H29" i="120"/>
  <c r="H28" i="120" s="1"/>
  <c r="I29" i="120"/>
  <c r="I28" i="120" s="1"/>
  <c r="G29" i="120"/>
  <c r="G28" i="120" s="1"/>
  <c r="H43" i="119"/>
  <c r="G43" i="119"/>
  <c r="F43" i="119"/>
  <c r="F801" i="119" l="1"/>
  <c r="F501" i="119"/>
  <c r="G649" i="120" l="1"/>
  <c r="D264" i="113"/>
  <c r="F27" i="119"/>
  <c r="D150" i="113"/>
  <c r="D89" i="113"/>
  <c r="F25" i="119" l="1"/>
  <c r="D267" i="113"/>
  <c r="D211" i="113"/>
  <c r="F46" i="119"/>
  <c r="D37" i="112"/>
  <c r="D30" i="112"/>
  <c r="H196" i="120" l="1"/>
  <c r="H195" i="120" s="1"/>
  <c r="H194" i="120" s="1"/>
  <c r="I196" i="120"/>
  <c r="I195" i="120" s="1"/>
  <c r="I194" i="120" s="1"/>
  <c r="J196" i="120"/>
  <c r="F131" i="119" l="1"/>
  <c r="G956" i="120" l="1"/>
  <c r="D212" i="113" l="1"/>
  <c r="D288" i="113"/>
  <c r="D263" i="113" l="1"/>
  <c r="D84" i="113" l="1"/>
  <c r="D76" i="113"/>
  <c r="D185" i="113" l="1"/>
  <c r="D63" i="113" l="1"/>
  <c r="D48" i="113"/>
  <c r="G691" i="120" l="1"/>
  <c r="F321" i="119" l="1"/>
  <c r="F111" i="119"/>
  <c r="F113" i="119" l="1"/>
  <c r="D75" i="113" l="1"/>
  <c r="D68" i="113" l="1"/>
  <c r="D204" i="113"/>
  <c r="D205" i="113"/>
  <c r="D256" i="113"/>
  <c r="G266" i="120" s="1"/>
  <c r="F495" i="119" l="1"/>
  <c r="F494" i="119" s="1"/>
  <c r="I815" i="120"/>
  <c r="I814" i="120" s="1"/>
  <c r="I813" i="120" s="1"/>
  <c r="H815" i="120"/>
  <c r="H814" i="120" s="1"/>
  <c r="H813" i="120" s="1"/>
  <c r="G815" i="120"/>
  <c r="G814" i="120" s="1"/>
  <c r="G813" i="120" s="1"/>
  <c r="E98" i="112" l="1"/>
  <c r="F98" i="112"/>
  <c r="D69" i="112"/>
  <c r="D88" i="112"/>
  <c r="F803" i="119" s="1"/>
  <c r="D101" i="112"/>
  <c r="G800" i="120" l="1"/>
  <c r="F481" i="119"/>
  <c r="F480" i="119" s="1"/>
  <c r="F805" i="119"/>
  <c r="G669" i="120"/>
  <c r="H58" i="119"/>
  <c r="G58" i="119"/>
  <c r="F58" i="119"/>
  <c r="F54" i="119"/>
  <c r="G326" i="120" l="1"/>
  <c r="G328" i="120"/>
  <c r="F392" i="119" l="1"/>
  <c r="F391" i="119" s="1"/>
  <c r="F390" i="119" s="1"/>
  <c r="F389" i="119"/>
  <c r="F386" i="119" l="1"/>
  <c r="G331" i="120"/>
  <c r="G330" i="120" s="1"/>
  <c r="G327" i="120" l="1"/>
  <c r="G325" i="120" s="1"/>
  <c r="G324" i="120" s="1"/>
  <c r="D18" i="112" l="1"/>
  <c r="F34" i="119" l="1"/>
  <c r="G656" i="120" s="1"/>
  <c r="F61" i="119" l="1"/>
  <c r="D213" i="113"/>
  <c r="D210" i="113" s="1"/>
  <c r="D35" i="113" l="1"/>
  <c r="D32" i="113"/>
  <c r="F810" i="119"/>
  <c r="D60" i="112" l="1"/>
  <c r="G344" i="119" l="1"/>
  <c r="G343" i="119" s="1"/>
  <c r="G342" i="119" s="1"/>
  <c r="H344" i="119"/>
  <c r="F344" i="119"/>
  <c r="F343" i="119" s="1"/>
  <c r="F342" i="119" s="1"/>
  <c r="H343" i="119" l="1"/>
  <c r="H342" i="119" s="1"/>
  <c r="E228" i="113" l="1"/>
  <c r="E229" i="113" s="1"/>
  <c r="F228" i="113"/>
  <c r="F229" i="113" s="1"/>
  <c r="D230" i="113"/>
  <c r="F227" i="113" l="1"/>
  <c r="E227" i="113"/>
  <c r="D33" i="113"/>
  <c r="D36" i="113" l="1"/>
  <c r="D281" i="113" l="1"/>
  <c r="G659" i="120" l="1"/>
  <c r="D297" i="113" l="1"/>
  <c r="G248" i="119" l="1"/>
  <c r="H248" i="119"/>
  <c r="D52" i="113"/>
  <c r="D27" i="113"/>
  <c r="H193" i="120" l="1"/>
  <c r="I193" i="120"/>
  <c r="F257" i="113"/>
  <c r="E257" i="113"/>
  <c r="D236" i="113" l="1"/>
  <c r="D221" i="113" l="1"/>
  <c r="D14" i="113" l="1"/>
  <c r="D25" i="113"/>
  <c r="D270" i="113"/>
  <c r="D279" i="113"/>
  <c r="D258" i="113" l="1"/>
  <c r="F249" i="119" l="1"/>
  <c r="G196" i="120" s="1"/>
  <c r="G195" i="120" s="1"/>
  <c r="G194" i="120" s="1"/>
  <c r="G193" i="120" s="1"/>
  <c r="D257" i="113"/>
  <c r="F248" i="119" l="1"/>
  <c r="D97" i="112"/>
  <c r="D307" i="113" s="1"/>
  <c r="D85" i="112"/>
  <c r="D65" i="112"/>
  <c r="D45" i="112"/>
  <c r="D43" i="112" s="1"/>
  <c r="D40" i="112"/>
  <c r="D32" i="112"/>
  <c r="G634" i="120" l="1"/>
  <c r="F944" i="119"/>
  <c r="D218" i="113"/>
  <c r="G918" i="120" l="1"/>
  <c r="H265" i="120"/>
  <c r="H264" i="120" s="1"/>
  <c r="I265" i="120"/>
  <c r="I264" i="120" s="1"/>
  <c r="H320" i="119"/>
  <c r="H319" i="119" s="1"/>
  <c r="G320" i="119"/>
  <c r="G319" i="119" s="1"/>
  <c r="D301" i="113"/>
  <c r="F170" i="119" s="1"/>
  <c r="G265" i="120"/>
  <c r="G264" i="120" s="1"/>
  <c r="F320" i="119"/>
  <c r="F319" i="119" s="1"/>
  <c r="F518" i="119"/>
  <c r="F524" i="119"/>
  <c r="G532" i="119"/>
  <c r="F628" i="119"/>
  <c r="G511" i="120" l="1"/>
  <c r="D196" i="113"/>
  <c r="D83" i="113"/>
  <c r="E47" i="113"/>
  <c r="D110" i="113"/>
  <c r="D109" i="113"/>
  <c r="G917" i="120" s="1"/>
  <c r="D100" i="113"/>
  <c r="G859" i="120"/>
  <c r="D72" i="113"/>
  <c r="F47" i="113"/>
  <c r="F246" i="113"/>
  <c r="E246" i="113"/>
  <c r="F627" i="119" l="1"/>
  <c r="D89" i="112"/>
  <c r="D34" i="112" l="1"/>
  <c r="D70" i="112"/>
  <c r="D209" i="113"/>
  <c r="D245" i="113" l="1"/>
  <c r="D246" i="113"/>
  <c r="D237" i="113" l="1"/>
  <c r="F833" i="119"/>
  <c r="G547" i="120"/>
  <c r="J915" i="120" l="1"/>
  <c r="H826" i="120" l="1"/>
  <c r="H825" i="120" s="1"/>
  <c r="H824" i="120" s="1"/>
  <c r="I826" i="120"/>
  <c r="I825" i="120" s="1"/>
  <c r="I824" i="120" s="1"/>
  <c r="G826" i="120"/>
  <c r="G825" i="120" s="1"/>
  <c r="G824" i="120" s="1"/>
  <c r="G823" i="120"/>
  <c r="G822" i="120" s="1"/>
  <c r="G821" i="120" s="1"/>
  <c r="G820" i="120"/>
  <c r="G819" i="120" s="1"/>
  <c r="G818" i="120" s="1"/>
  <c r="G428" i="119"/>
  <c r="H428" i="119"/>
  <c r="G443" i="119"/>
  <c r="H443" i="119"/>
  <c r="G468" i="119"/>
  <c r="H468" i="119"/>
  <c r="G507" i="119"/>
  <c r="G506" i="119" s="1"/>
  <c r="G505" i="119" s="1"/>
  <c r="F507" i="119"/>
  <c r="F506" i="119" s="1"/>
  <c r="F505" i="119" s="1"/>
  <c r="H506" i="119"/>
  <c r="H505" i="119" s="1"/>
  <c r="F500" i="119"/>
  <c r="F499" i="119" s="1"/>
  <c r="F504" i="119"/>
  <c r="F503" i="119" s="1"/>
  <c r="F502" i="119" s="1"/>
  <c r="F498" i="119" l="1"/>
  <c r="F497" i="119" s="1"/>
  <c r="G817" i="120"/>
  <c r="G816" i="120" s="1"/>
  <c r="F52" i="113"/>
  <c r="D101" i="113"/>
  <c r="F103" i="113"/>
  <c r="E103" i="113"/>
  <c r="F102" i="113"/>
  <c r="E102" i="113"/>
  <c r="F50" i="113"/>
  <c r="E50" i="113"/>
  <c r="E52" i="113"/>
  <c r="F484" i="119"/>
  <c r="F101" i="113" l="1"/>
  <c r="H800" i="120"/>
  <c r="G481" i="119"/>
  <c r="H823" i="120"/>
  <c r="H822" i="120" s="1"/>
  <c r="H821" i="120" s="1"/>
  <c r="G504" i="119"/>
  <c r="G503" i="119" s="1"/>
  <c r="G502" i="119" s="1"/>
  <c r="G484" i="119"/>
  <c r="H803" i="120"/>
  <c r="I800" i="120"/>
  <c r="H481" i="119"/>
  <c r="I823" i="120"/>
  <c r="I822" i="120" s="1"/>
  <c r="I821" i="120" s="1"/>
  <c r="H504" i="119"/>
  <c r="H503" i="119" s="1"/>
  <c r="H502" i="119" s="1"/>
  <c r="H484" i="119"/>
  <c r="I803" i="120"/>
  <c r="H501" i="119"/>
  <c r="H500" i="119" s="1"/>
  <c r="H499" i="119" s="1"/>
  <c r="I820" i="120"/>
  <c r="I819" i="120" s="1"/>
  <c r="I818" i="120" s="1"/>
  <c r="E101" i="113"/>
  <c r="G501" i="119"/>
  <c r="G500" i="119" s="1"/>
  <c r="G499" i="119" s="1"/>
  <c r="H820" i="120"/>
  <c r="H819" i="120" s="1"/>
  <c r="H818" i="120" s="1"/>
  <c r="D253" i="113"/>
  <c r="H817" i="120" l="1"/>
  <c r="H816" i="120" s="1"/>
  <c r="I817" i="120"/>
  <c r="I816" i="120" s="1"/>
  <c r="G498" i="119"/>
  <c r="G497" i="119" s="1"/>
  <c r="H498" i="119"/>
  <c r="H497" i="119" s="1"/>
  <c r="D100" i="112"/>
  <c r="D98" i="112" s="1"/>
  <c r="D59" i="112" l="1"/>
  <c r="D252" i="113" s="1"/>
  <c r="G184" i="120"/>
  <c r="F239" i="119"/>
  <c r="F401" i="119"/>
  <c r="F431" i="119"/>
  <c r="G729" i="120" l="1"/>
  <c r="D61" i="113"/>
  <c r="G753" i="120"/>
  <c r="D23" i="112" l="1"/>
  <c r="D25" i="112"/>
  <c r="D22" i="112" l="1"/>
  <c r="D175" i="113"/>
  <c r="D167" i="113"/>
  <c r="H119" i="120" l="1"/>
  <c r="I119" i="120"/>
  <c r="G119" i="120"/>
  <c r="G456" i="119"/>
  <c r="G455" i="119" s="1"/>
  <c r="H456" i="119"/>
  <c r="H455" i="119" s="1"/>
  <c r="D171" i="113"/>
  <c r="G100" i="120"/>
  <c r="D223" i="113"/>
  <c r="F149" i="119" l="1"/>
  <c r="D51" i="112"/>
  <c r="D58" i="112"/>
  <c r="D47" i="112" s="1"/>
  <c r="E43" i="113"/>
  <c r="F43" i="113"/>
  <c r="D44" i="113"/>
  <c r="D43" i="113" s="1"/>
  <c r="D41" i="113"/>
  <c r="D40" i="113" s="1"/>
  <c r="E40" i="113"/>
  <c r="F40" i="113"/>
  <c r="D38" i="113"/>
  <c r="D39" i="113"/>
  <c r="E34" i="113"/>
  <c r="F34" i="113"/>
  <c r="D34" i="113"/>
  <c r="E31" i="113"/>
  <c r="F31" i="113"/>
  <c r="D31" i="113"/>
  <c r="D29" i="113"/>
  <c r="D30" i="113"/>
  <c r="F447" i="119" l="1"/>
  <c r="G771" i="120"/>
  <c r="D37" i="113"/>
  <c r="G778" i="120"/>
  <c r="F454" i="119"/>
  <c r="F453" i="119" s="1"/>
  <c r="F452" i="119" s="1"/>
  <c r="G781" i="120"/>
  <c r="F457" i="119"/>
  <c r="F456" i="119" s="1"/>
  <c r="F455" i="119" s="1"/>
  <c r="F450" i="119"/>
  <c r="G774" i="120"/>
  <c r="D28" i="113"/>
  <c r="H833" i="119"/>
  <c r="I547" i="120" s="1"/>
  <c r="H832" i="119"/>
  <c r="I546" i="120" s="1"/>
  <c r="H830" i="119"/>
  <c r="I544" i="120" s="1"/>
  <c r="H857" i="119"/>
  <c r="G857" i="119"/>
  <c r="F857" i="119"/>
  <c r="H855" i="119"/>
  <c r="G855" i="119"/>
  <c r="F855" i="119"/>
  <c r="H852" i="119"/>
  <c r="H851" i="119" s="1"/>
  <c r="G852" i="119"/>
  <c r="G851" i="119" s="1"/>
  <c r="F852" i="119"/>
  <c r="F851" i="119" s="1"/>
  <c r="H849" i="119"/>
  <c r="H848" i="119" s="1"/>
  <c r="G849" i="119"/>
  <c r="G848" i="119" s="1"/>
  <c r="F849" i="119"/>
  <c r="F848" i="119" s="1"/>
  <c r="H568" i="120"/>
  <c r="I568" i="120"/>
  <c r="G568" i="120"/>
  <c r="H570" i="120"/>
  <c r="I570" i="120"/>
  <c r="G570" i="120"/>
  <c r="H565" i="120"/>
  <c r="H564" i="120" s="1"/>
  <c r="I565" i="120"/>
  <c r="I564" i="120" s="1"/>
  <c r="G565" i="120"/>
  <c r="G564" i="120" s="1"/>
  <c r="H562" i="120"/>
  <c r="H561" i="120" s="1"/>
  <c r="I562" i="120"/>
  <c r="I561" i="120" s="1"/>
  <c r="G562" i="120"/>
  <c r="G561" i="120" s="1"/>
  <c r="A575" i="120"/>
  <c r="F234" i="113"/>
  <c r="F236" i="113"/>
  <c r="F320" i="113"/>
  <c r="F238" i="113"/>
  <c r="F854" i="119" l="1"/>
  <c r="G854" i="119"/>
  <c r="G847" i="119" s="1"/>
  <c r="G846" i="119" s="1"/>
  <c r="G567" i="120"/>
  <c r="G560" i="120"/>
  <c r="G559" i="120" s="1"/>
  <c r="F451" i="119"/>
  <c r="H567" i="120"/>
  <c r="H560" i="120" s="1"/>
  <c r="H559" i="120" s="1"/>
  <c r="H854" i="119"/>
  <c r="H847" i="119" s="1"/>
  <c r="H846" i="119" s="1"/>
  <c r="F847" i="119"/>
  <c r="F846" i="119" s="1"/>
  <c r="I567" i="120"/>
  <c r="I560" i="120" s="1"/>
  <c r="I559" i="120" s="1"/>
  <c r="E20" i="108" l="1"/>
  <c r="D20" i="108"/>
  <c r="D13" i="108"/>
  <c r="D19" i="108" s="1"/>
  <c r="G817" i="119" l="1"/>
  <c r="H817" i="119"/>
  <c r="H531" i="120"/>
  <c r="I531" i="120"/>
  <c r="G531" i="120"/>
  <c r="H778" i="120"/>
  <c r="H777" i="120" s="1"/>
  <c r="H776" i="120" s="1"/>
  <c r="I778" i="120"/>
  <c r="I777" i="120" s="1"/>
  <c r="I776" i="120" s="1"/>
  <c r="G777" i="120"/>
  <c r="G776" i="120" s="1"/>
  <c r="H781" i="120"/>
  <c r="H780" i="120" s="1"/>
  <c r="H779" i="120" s="1"/>
  <c r="I781" i="120"/>
  <c r="I780" i="120" s="1"/>
  <c r="I779" i="120" s="1"/>
  <c r="H774" i="120"/>
  <c r="I774" i="120"/>
  <c r="H771" i="120"/>
  <c r="I771" i="120"/>
  <c r="J771" i="120"/>
  <c r="G453" i="119"/>
  <c r="G452" i="119" s="1"/>
  <c r="G451" i="119" s="1"/>
  <c r="H453" i="119"/>
  <c r="H452" i="119" s="1"/>
  <c r="H451" i="119" s="1"/>
  <c r="G450" i="119"/>
  <c r="H450" i="119"/>
  <c r="G447" i="119"/>
  <c r="H447" i="119"/>
  <c r="H775" i="120" l="1"/>
  <c r="I775" i="120"/>
  <c r="E58" i="112" l="1"/>
  <c r="F58" i="112"/>
  <c r="E320" i="113"/>
  <c r="D298" i="113"/>
  <c r="H819" i="119"/>
  <c r="I533" i="120" s="1"/>
  <c r="E236" i="113"/>
  <c r="G819" i="119" s="1"/>
  <c r="H533" i="120" s="1"/>
  <c r="E37" i="113" l="1"/>
  <c r="F37" i="113"/>
  <c r="G780" i="120" l="1"/>
  <c r="G779" i="120" s="1"/>
  <c r="G775" i="120" s="1"/>
  <c r="A577" i="120"/>
  <c r="H136" i="119" l="1"/>
  <c r="G136" i="119"/>
  <c r="G796" i="119"/>
  <c r="H796" i="119"/>
  <c r="F796" i="119"/>
  <c r="H526" i="120"/>
  <c r="I526" i="120"/>
  <c r="G526" i="120"/>
  <c r="H89" i="120"/>
  <c r="I89" i="120"/>
  <c r="J574" i="120"/>
  <c r="H581" i="120"/>
  <c r="H580" i="120" s="1"/>
  <c r="I581" i="120"/>
  <c r="I580" i="120" s="1"/>
  <c r="J581" i="120"/>
  <c r="G581" i="120"/>
  <c r="G580" i="120" s="1"/>
  <c r="A576" i="120"/>
  <c r="H865" i="119"/>
  <c r="G865" i="119"/>
  <c r="F865" i="119"/>
  <c r="H864" i="119"/>
  <c r="H863" i="119" s="1"/>
  <c r="G864" i="119"/>
  <c r="G863" i="119" s="1"/>
  <c r="G579" i="120"/>
  <c r="G578" i="120" s="1"/>
  <c r="F817" i="119"/>
  <c r="D268" i="113"/>
  <c r="D320" i="113"/>
  <c r="G862" i="119" l="1"/>
  <c r="G861" i="119" s="1"/>
  <c r="G860" i="119" s="1"/>
  <c r="H862" i="119"/>
  <c r="H861" i="119" s="1"/>
  <c r="H860" i="119" s="1"/>
  <c r="G89" i="120"/>
  <c r="F819" i="119"/>
  <c r="G533" i="120" s="1"/>
  <c r="G532" i="120" s="1"/>
  <c r="I579" i="120"/>
  <c r="I578" i="120" s="1"/>
  <c r="I577" i="120" s="1"/>
  <c r="I576" i="120" s="1"/>
  <c r="I575" i="120" s="1"/>
  <c r="I574" i="120" s="1"/>
  <c r="H579" i="120"/>
  <c r="H578" i="120" s="1"/>
  <c r="H577" i="120" s="1"/>
  <c r="H576" i="120" s="1"/>
  <c r="H575" i="120" s="1"/>
  <c r="H574" i="120" s="1"/>
  <c r="F136" i="119"/>
  <c r="F863" i="119"/>
  <c r="F862" i="119" s="1"/>
  <c r="F861" i="119" s="1"/>
  <c r="F860" i="119" s="1"/>
  <c r="G577" i="120"/>
  <c r="G576" i="120" s="1"/>
  <c r="G575" i="120" s="1"/>
  <c r="G574" i="120" s="1"/>
  <c r="D95" i="112" l="1"/>
  <c r="D94" i="112"/>
  <c r="I716" i="120" l="1"/>
  <c r="H654" i="120" l="1"/>
  <c r="I654" i="120"/>
  <c r="J333" i="120"/>
  <c r="G561" i="119"/>
  <c r="H561" i="119"/>
  <c r="E86" i="113" l="1"/>
  <c r="H307" i="120" l="1"/>
  <c r="I307" i="120"/>
  <c r="H219" i="120"/>
  <c r="I219" i="120"/>
  <c r="H176" i="120"/>
  <c r="I176" i="120"/>
  <c r="H152" i="120"/>
  <c r="I152" i="120"/>
  <c r="H149" i="120"/>
  <c r="I149" i="120"/>
  <c r="H146" i="120"/>
  <c r="I146" i="120"/>
  <c r="H844" i="120"/>
  <c r="I844" i="120"/>
  <c r="G761" i="119"/>
  <c r="H761" i="119"/>
  <c r="G758" i="119"/>
  <c r="H758" i="119"/>
  <c r="G642" i="119"/>
  <c r="G631" i="119"/>
  <c r="H631" i="119"/>
  <c r="G513" i="119"/>
  <c r="H513" i="119"/>
  <c r="G465" i="119"/>
  <c r="H465" i="119"/>
  <c r="G437" i="119"/>
  <c r="H437" i="119"/>
  <c r="G404" i="119"/>
  <c r="H404" i="119"/>
  <c r="G398" i="119"/>
  <c r="H398" i="119"/>
  <c r="H889" i="120"/>
  <c r="H888" i="120" s="1"/>
  <c r="H887" i="120" s="1"/>
  <c r="I889" i="120"/>
  <c r="I888" i="120" s="1"/>
  <c r="I887" i="120" s="1"/>
  <c r="G889" i="120"/>
  <c r="G888" i="120" s="1"/>
  <c r="G887" i="120" s="1"/>
  <c r="H435" i="120"/>
  <c r="I435" i="120"/>
  <c r="G435" i="120"/>
  <c r="H432" i="120"/>
  <c r="I432" i="120"/>
  <c r="H428" i="120"/>
  <c r="I428" i="120"/>
  <c r="H425" i="120"/>
  <c r="I425" i="120"/>
  <c r="H263" i="120"/>
  <c r="H262" i="120" s="1"/>
  <c r="H261" i="120" s="1"/>
  <c r="I263" i="120"/>
  <c r="I262" i="120" s="1"/>
  <c r="I261" i="120" s="1"/>
  <c r="G263" i="120"/>
  <c r="G262" i="120" s="1"/>
  <c r="G261" i="120" s="1"/>
  <c r="H231" i="120"/>
  <c r="I231" i="120"/>
  <c r="G231" i="120"/>
  <c r="H95" i="120"/>
  <c r="I95" i="120"/>
  <c r="H92" i="120"/>
  <c r="I92" i="120"/>
  <c r="G725" i="119"/>
  <c r="H725" i="119"/>
  <c r="F725" i="119"/>
  <c r="G722" i="119"/>
  <c r="H722" i="119"/>
  <c r="G718" i="119"/>
  <c r="H718" i="119"/>
  <c r="G715" i="119"/>
  <c r="H715" i="119"/>
  <c r="G600" i="119"/>
  <c r="G599" i="119" s="1"/>
  <c r="G598" i="119" s="1"/>
  <c r="H600" i="119"/>
  <c r="H599" i="119" s="1"/>
  <c r="H598" i="119" s="1"/>
  <c r="F600" i="119"/>
  <c r="F599" i="119" s="1"/>
  <c r="F598" i="119" s="1"/>
  <c r="G610" i="119"/>
  <c r="H610" i="119"/>
  <c r="G318" i="119"/>
  <c r="G317" i="119" s="1"/>
  <c r="G316" i="119" s="1"/>
  <c r="H318" i="119"/>
  <c r="H317" i="119" s="1"/>
  <c r="H316" i="119" s="1"/>
  <c r="F318" i="119"/>
  <c r="F317" i="119" s="1"/>
  <c r="F316" i="119" s="1"/>
  <c r="G286" i="119"/>
  <c r="H286" i="119"/>
  <c r="F286" i="119"/>
  <c r="E265" i="113"/>
  <c r="F265" i="113"/>
  <c r="E208" i="113"/>
  <c r="H229" i="120" s="1"/>
  <c r="F208" i="113"/>
  <c r="I229" i="120" s="1"/>
  <c r="D208" i="113"/>
  <c r="E252" i="113"/>
  <c r="G315" i="119" s="1"/>
  <c r="F252" i="113"/>
  <c r="H315" i="119" s="1"/>
  <c r="F284" i="119" l="1"/>
  <c r="D202" i="113"/>
  <c r="F315" i="119"/>
  <c r="F314" i="119" s="1"/>
  <c r="F313" i="119" s="1"/>
  <c r="F312" i="119" s="1"/>
  <c r="H284" i="119"/>
  <c r="G229" i="120"/>
  <c r="H314" i="119"/>
  <c r="H313" i="119" s="1"/>
  <c r="H312" i="119" s="1"/>
  <c r="I260" i="120"/>
  <c r="I259" i="120" s="1"/>
  <c r="I258" i="120" s="1"/>
  <c r="I257" i="120" s="1"/>
  <c r="G314" i="119"/>
  <c r="G313" i="119" s="1"/>
  <c r="G312" i="119" s="1"/>
  <c r="H260" i="120"/>
  <c r="H259" i="120" s="1"/>
  <c r="H258" i="120" s="1"/>
  <c r="H257" i="120" s="1"/>
  <c r="G284" i="119"/>
  <c r="E75" i="113"/>
  <c r="F75" i="113"/>
  <c r="G260" i="120" l="1"/>
  <c r="G259" i="120" s="1"/>
  <c r="G258" i="120" s="1"/>
  <c r="G257" i="120" s="1"/>
  <c r="D165" i="113"/>
  <c r="D162" i="113"/>
  <c r="D163" i="113"/>
  <c r="F86" i="113"/>
  <c r="D86" i="113"/>
  <c r="E76" i="113"/>
  <c r="F76" i="113"/>
  <c r="G428" i="120" l="1"/>
  <c r="F718" i="119"/>
  <c r="F715" i="119"/>
  <c r="G425" i="120"/>
  <c r="E85" i="113"/>
  <c r="G597" i="119"/>
  <c r="G596" i="119" s="1"/>
  <c r="G595" i="119" s="1"/>
  <c r="G594" i="119" s="1"/>
  <c r="H886" i="120"/>
  <c r="H885" i="120" s="1"/>
  <c r="H884" i="120" s="1"/>
  <c r="H883" i="120" s="1"/>
  <c r="D85" i="113"/>
  <c r="G886" i="120"/>
  <c r="G885" i="120" s="1"/>
  <c r="G884" i="120" s="1"/>
  <c r="G883" i="120" s="1"/>
  <c r="F597" i="119"/>
  <c r="F596" i="119" s="1"/>
  <c r="F595" i="119" s="1"/>
  <c r="F594" i="119" s="1"/>
  <c r="F85" i="113"/>
  <c r="I886" i="120"/>
  <c r="I885" i="120" s="1"/>
  <c r="I884" i="120" s="1"/>
  <c r="I883" i="120" s="1"/>
  <c r="H597" i="119"/>
  <c r="H596" i="119" s="1"/>
  <c r="H595" i="119" s="1"/>
  <c r="H594" i="119" s="1"/>
  <c r="G432" i="120"/>
  <c r="F722" i="119"/>
  <c r="C11" i="112"/>
  <c r="D11" i="112"/>
  <c r="E11" i="112"/>
  <c r="F11" i="112"/>
  <c r="C13" i="112"/>
  <c r="D13" i="112"/>
  <c r="E13" i="112"/>
  <c r="F13" i="112"/>
  <c r="C15" i="112"/>
  <c r="D15" i="112"/>
  <c r="E15" i="112"/>
  <c r="F15" i="112"/>
  <c r="C20" i="112"/>
  <c r="D20" i="112"/>
  <c r="E20" i="112"/>
  <c r="F20" i="112"/>
  <c r="C22" i="112"/>
  <c r="E22" i="112"/>
  <c r="F22" i="112"/>
  <c r="C29" i="112"/>
  <c r="D29" i="112"/>
  <c r="E29" i="112"/>
  <c r="F29" i="112"/>
  <c r="C31" i="112"/>
  <c r="D31" i="112"/>
  <c r="E31" i="112"/>
  <c r="F31" i="112"/>
  <c r="C34" i="112"/>
  <c r="E34" i="112"/>
  <c r="F34" i="112"/>
  <c r="C39" i="112"/>
  <c r="D39" i="112"/>
  <c r="E39" i="112"/>
  <c r="F39" i="112"/>
  <c r="C43" i="112"/>
  <c r="E43" i="112"/>
  <c r="F43" i="112"/>
  <c r="C58" i="112"/>
  <c r="C47" i="112" s="1"/>
  <c r="E47" i="112"/>
  <c r="F47" i="112"/>
  <c r="C74" i="112"/>
  <c r="C73" i="112" s="1"/>
  <c r="C81" i="112"/>
  <c r="C93" i="112"/>
  <c r="D93" i="112"/>
  <c r="D74" i="112" s="1"/>
  <c r="E93" i="112"/>
  <c r="E74" i="112" s="1"/>
  <c r="F93" i="112"/>
  <c r="F74" i="112" s="1"/>
  <c r="D96" i="112"/>
  <c r="E96" i="112"/>
  <c r="F96" i="112"/>
  <c r="E17" i="108"/>
  <c r="D17" i="108"/>
  <c r="C17" i="108"/>
  <c r="E13" i="108"/>
  <c r="E19" i="108" s="1"/>
  <c r="C13" i="108" l="1"/>
  <c r="E73" i="112"/>
  <c r="E18" i="108"/>
  <c r="F73" i="112"/>
  <c r="F42" i="112" s="1"/>
  <c r="F41" i="112" s="1"/>
  <c r="C15" i="108"/>
  <c r="E15" i="108"/>
  <c r="C10" i="112"/>
  <c r="C12" i="108"/>
  <c r="F10" i="112"/>
  <c r="E12" i="108"/>
  <c r="E10" i="112"/>
  <c r="D73" i="112"/>
  <c r="D42" i="112" s="1"/>
  <c r="D10" i="112"/>
  <c r="E42" i="112"/>
  <c r="E41" i="112" s="1"/>
  <c r="C42" i="112"/>
  <c r="C41" i="112" s="1"/>
  <c r="D18" i="108"/>
  <c r="D12" i="108"/>
  <c r="D15" i="108"/>
  <c r="C103" i="112" l="1"/>
  <c r="C18" i="108"/>
  <c r="E21" i="108"/>
  <c r="F103" i="112"/>
  <c r="E103" i="112"/>
  <c r="D21" i="108"/>
  <c r="D41" i="112"/>
  <c r="D103" i="112" s="1"/>
  <c r="D104" i="112" s="1"/>
  <c r="C21" i="108" l="1"/>
  <c r="D248" i="113"/>
  <c r="H31" i="120" l="1"/>
  <c r="I31" i="120"/>
  <c r="G31" i="120"/>
  <c r="H836" i="120"/>
  <c r="I836" i="120"/>
  <c r="H840" i="120"/>
  <c r="I840" i="120"/>
  <c r="H851" i="120" l="1"/>
  <c r="H850" i="120" s="1"/>
  <c r="H849" i="120" s="1"/>
  <c r="I851" i="120"/>
  <c r="I850" i="120" s="1"/>
  <c r="I849" i="120" s="1"/>
  <c r="G850" i="120"/>
  <c r="G849" i="120" s="1"/>
  <c r="H767" i="120"/>
  <c r="I767" i="120"/>
  <c r="H760" i="120"/>
  <c r="I760" i="120"/>
  <c r="I753" i="120"/>
  <c r="H750" i="120"/>
  <c r="I750" i="120"/>
  <c r="H558" i="120"/>
  <c r="I558" i="120"/>
  <c r="H515" i="120"/>
  <c r="I515" i="120"/>
  <c r="H499" i="120"/>
  <c r="H496" i="120"/>
  <c r="I496" i="120"/>
  <c r="H493" i="120"/>
  <c r="I493" i="120"/>
  <c r="H491" i="120"/>
  <c r="I491" i="120"/>
  <c r="H488" i="120"/>
  <c r="I488" i="120"/>
  <c r="H485" i="120"/>
  <c r="I485" i="120"/>
  <c r="G454" i="120"/>
  <c r="G457" i="120"/>
  <c r="H256" i="120"/>
  <c r="I256" i="120"/>
  <c r="G256" i="120"/>
  <c r="G756" i="119"/>
  <c r="H756" i="119"/>
  <c r="F756" i="119"/>
  <c r="G369" i="119"/>
  <c r="H369" i="119"/>
  <c r="F369" i="119"/>
  <c r="G366" i="119"/>
  <c r="H366" i="119"/>
  <c r="H753" i="120"/>
  <c r="H833" i="120"/>
  <c r="I833" i="120"/>
  <c r="H514" i="119"/>
  <c r="G520" i="119"/>
  <c r="H837" i="120" s="1"/>
  <c r="H658" i="120"/>
  <c r="H657" i="120" s="1"/>
  <c r="I658" i="120"/>
  <c r="I657" i="120" s="1"/>
  <c r="G658" i="120"/>
  <c r="G657" i="120" s="1"/>
  <c r="J660" i="120"/>
  <c r="H690" i="120"/>
  <c r="H689" i="120" s="1"/>
  <c r="I690" i="120"/>
  <c r="I689" i="120" s="1"/>
  <c r="G690" i="120"/>
  <c r="G689" i="120" s="1"/>
  <c r="H374" i="120"/>
  <c r="H373" i="120" s="1"/>
  <c r="H372" i="120" s="1"/>
  <c r="I374" i="120"/>
  <c r="I373" i="120" s="1"/>
  <c r="I372" i="120" s="1"/>
  <c r="G374" i="120"/>
  <c r="G373" i="120" s="1"/>
  <c r="G372" i="120" s="1"/>
  <c r="J204" i="120"/>
  <c r="H209" i="120"/>
  <c r="I209" i="120"/>
  <c r="G209" i="120"/>
  <c r="I879" i="120"/>
  <c r="I878" i="120" s="1"/>
  <c r="H879" i="120"/>
  <c r="H878" i="120" s="1"/>
  <c r="G879" i="120"/>
  <c r="G878" i="120" s="1"/>
  <c r="H44" i="120"/>
  <c r="I44" i="120"/>
  <c r="G44" i="120"/>
  <c r="H27" i="120"/>
  <c r="I27" i="120"/>
  <c r="G27" i="120"/>
  <c r="H19" i="120"/>
  <c r="I19" i="120"/>
  <c r="G19" i="120"/>
  <c r="G261" i="119"/>
  <c r="H261" i="119"/>
  <c r="F261" i="119"/>
  <c r="G531" i="119"/>
  <c r="G530" i="119" s="1"/>
  <c r="H531" i="119"/>
  <c r="H530" i="119" s="1"/>
  <c r="F531" i="119"/>
  <c r="F530" i="119" s="1"/>
  <c r="H520" i="119"/>
  <c r="I837" i="120" s="1"/>
  <c r="G837" i="120"/>
  <c r="G833" i="120"/>
  <c r="E83" i="113"/>
  <c r="F83" i="113"/>
  <c r="F311" i="119"/>
  <c r="G133" i="119"/>
  <c r="H86" i="120" s="1"/>
  <c r="H133" i="119"/>
  <c r="I86" i="120" s="1"/>
  <c r="F133" i="119"/>
  <c r="G131" i="119"/>
  <c r="H84" i="120" s="1"/>
  <c r="H131" i="119"/>
  <c r="I84" i="120" s="1"/>
  <c r="H113" i="119"/>
  <c r="G113" i="119"/>
  <c r="F514" i="119" l="1"/>
  <c r="F520" i="119"/>
  <c r="G514" i="119"/>
  <c r="H94" i="119"/>
  <c r="G94" i="119"/>
  <c r="G87" i="119"/>
  <c r="H87" i="119"/>
  <c r="F87" i="119"/>
  <c r="G55" i="119"/>
  <c r="H665" i="120" s="1"/>
  <c r="H55" i="119"/>
  <c r="I665" i="120" s="1"/>
  <c r="G40" i="119"/>
  <c r="H25" i="120" s="1"/>
  <c r="H40" i="119"/>
  <c r="I25" i="120" s="1"/>
  <c r="G30" i="119"/>
  <c r="H30" i="119"/>
  <c r="F564" i="119"/>
  <c r="F563" i="119" s="1"/>
  <c r="F562" i="119" s="1"/>
  <c r="E266" i="113"/>
  <c r="G564" i="119" s="1"/>
  <c r="G563" i="119" s="1"/>
  <c r="G562" i="119" s="1"/>
  <c r="F266" i="113"/>
  <c r="H564" i="119" s="1"/>
  <c r="H563" i="119" s="1"/>
  <c r="H562" i="119" s="1"/>
  <c r="G25" i="120" l="1"/>
  <c r="E80" i="113"/>
  <c r="E79" i="113" s="1"/>
  <c r="F80" i="113"/>
  <c r="D80" i="113"/>
  <c r="D74" i="113"/>
  <c r="D254" i="113"/>
  <c r="D251" i="113" s="1"/>
  <c r="F254" i="113"/>
  <c r="E254" i="113"/>
  <c r="G848" i="120" l="1"/>
  <c r="G847" i="120" s="1"/>
  <c r="G846" i="120" s="1"/>
  <c r="G845" i="120" s="1"/>
  <c r="F529" i="119"/>
  <c r="F528" i="119" s="1"/>
  <c r="F527" i="119" s="1"/>
  <c r="F526" i="119" s="1"/>
  <c r="F251" i="113"/>
  <c r="I253" i="120"/>
  <c r="H308" i="119"/>
  <c r="H307" i="119"/>
  <c r="F308" i="119"/>
  <c r="F307" i="119" s="1"/>
  <c r="F306" i="119" s="1"/>
  <c r="G253" i="120"/>
  <c r="F79" i="113"/>
  <c r="I848" i="120"/>
  <c r="I847" i="120" s="1"/>
  <c r="I846" i="120" s="1"/>
  <c r="I845" i="120" s="1"/>
  <c r="H529" i="119"/>
  <c r="H528" i="119" s="1"/>
  <c r="H527" i="119" s="1"/>
  <c r="H526" i="119" s="1"/>
  <c r="E251" i="113"/>
  <c r="H253" i="120"/>
  <c r="G307" i="119"/>
  <c r="G308" i="119"/>
  <c r="G529" i="119"/>
  <c r="G528" i="119" s="1"/>
  <c r="G527" i="119" s="1"/>
  <c r="G526" i="119" s="1"/>
  <c r="H848" i="120"/>
  <c r="H847" i="120" s="1"/>
  <c r="H846" i="120" s="1"/>
  <c r="H845" i="120" s="1"/>
  <c r="D79" i="113"/>
  <c r="E250" i="113"/>
  <c r="F250" i="113"/>
  <c r="D250" i="113"/>
  <c r="H264" i="119" l="1"/>
  <c r="I214" i="120"/>
  <c r="G214" i="120"/>
  <c r="F264" i="119"/>
  <c r="G264" i="119"/>
  <c r="H214" i="120"/>
  <c r="E331" i="113" l="1"/>
  <c r="E248" i="113" l="1"/>
  <c r="F248" i="113"/>
  <c r="E310" i="113"/>
  <c r="F310" i="113"/>
  <c r="D310" i="113"/>
  <c r="E309" i="113"/>
  <c r="F309" i="113"/>
  <c r="D309" i="113"/>
  <c r="D308" i="113"/>
  <c r="F247" i="113" l="1"/>
  <c r="I206" i="120"/>
  <c r="H258" i="119"/>
  <c r="E247" i="113"/>
  <c r="H206" i="120"/>
  <c r="G258" i="119"/>
  <c r="F258" i="119"/>
  <c r="G206" i="120"/>
  <c r="D247" i="113"/>
  <c r="G307" i="120" l="1"/>
  <c r="F109" i="113"/>
  <c r="G545" i="119"/>
  <c r="H545" i="119"/>
  <c r="F545" i="119"/>
  <c r="H627" i="119" l="1"/>
  <c r="I917" i="120"/>
  <c r="G224" i="120"/>
  <c r="G223" i="120" s="1"/>
  <c r="H243" i="120"/>
  <c r="H242" i="120" s="1"/>
  <c r="I243" i="120"/>
  <c r="I242" i="120" s="1"/>
  <c r="G243" i="120"/>
  <c r="G242" i="120" s="1"/>
  <c r="H248" i="120"/>
  <c r="H247" i="120" s="1"/>
  <c r="I248" i="120"/>
  <c r="I247" i="120" s="1"/>
  <c r="G248" i="120"/>
  <c r="G247" i="120" s="1"/>
  <c r="H291" i="120"/>
  <c r="H290" i="120" s="1"/>
  <c r="H289" i="120" s="1"/>
  <c r="H288" i="120" s="1"/>
  <c r="H287" i="120" s="1"/>
  <c r="I291" i="120"/>
  <c r="I290" i="120" s="1"/>
  <c r="I289" i="120" s="1"/>
  <c r="I288" i="120" s="1"/>
  <c r="I287" i="120" s="1"/>
  <c r="G291" i="120"/>
  <c r="G290" i="120" s="1"/>
  <c r="G289" i="120" s="1"/>
  <c r="G288" i="120" s="1"/>
  <c r="G287" i="120" s="1"/>
  <c r="H366" i="120"/>
  <c r="H365" i="120" s="1"/>
  <c r="I366" i="120"/>
  <c r="I365" i="120" s="1"/>
  <c r="G366" i="120"/>
  <c r="G365" i="120" s="1"/>
  <c r="H380" i="120"/>
  <c r="H379" i="120" s="1"/>
  <c r="H378" i="120" s="1"/>
  <c r="H377" i="120" s="1"/>
  <c r="I380" i="120"/>
  <c r="I379" i="120" s="1"/>
  <c r="I378" i="120" s="1"/>
  <c r="I377" i="120" s="1"/>
  <c r="H386" i="120"/>
  <c r="H385" i="120" s="1"/>
  <c r="H384" i="120" s="1"/>
  <c r="I386" i="120"/>
  <c r="I385" i="120" s="1"/>
  <c r="I384" i="120" s="1"/>
  <c r="G25" i="119"/>
  <c r="G24" i="119" s="1"/>
  <c r="H25" i="119"/>
  <c r="I647" i="120" s="1"/>
  <c r="I646" i="120" s="1"/>
  <c r="G71" i="119"/>
  <c r="G70" i="119" s="1"/>
  <c r="H71" i="119"/>
  <c r="H69" i="119" s="1"/>
  <c r="H995" i="120"/>
  <c r="H994" i="120" s="1"/>
  <c r="H993" i="120" s="1"/>
  <c r="I995" i="120"/>
  <c r="I994" i="120" s="1"/>
  <c r="I993" i="120" s="1"/>
  <c r="H514" i="120"/>
  <c r="H513" i="120" s="1"/>
  <c r="I514" i="120"/>
  <c r="I513" i="120" s="1"/>
  <c r="G515" i="120"/>
  <c r="G514" i="120" s="1"/>
  <c r="G513" i="120" s="1"/>
  <c r="H766" i="120"/>
  <c r="H765" i="120" s="1"/>
  <c r="I766" i="120"/>
  <c r="I765" i="120" s="1"/>
  <c r="J767" i="120"/>
  <c r="G767" i="120"/>
  <c r="G766" i="120" s="1"/>
  <c r="G765" i="120" s="1"/>
  <c r="H962" i="120"/>
  <c r="H961" i="120" s="1"/>
  <c r="H960" i="120" s="1"/>
  <c r="H959" i="120" s="1"/>
  <c r="H958" i="120" s="1"/>
  <c r="I962" i="120"/>
  <c r="I961" i="120" s="1"/>
  <c r="I960" i="120" s="1"/>
  <c r="I959" i="120" s="1"/>
  <c r="I958" i="120" s="1"/>
  <c r="G962" i="120"/>
  <c r="G961" i="120" s="1"/>
  <c r="G960" i="120" s="1"/>
  <c r="G959" i="120" s="1"/>
  <c r="G958" i="120" s="1"/>
  <c r="J197" i="120"/>
  <c r="H831" i="120"/>
  <c r="I831" i="120"/>
  <c r="G522" i="119"/>
  <c r="G521" i="119" s="1"/>
  <c r="H522" i="119"/>
  <c r="H521" i="119" s="1"/>
  <c r="G516" i="119"/>
  <c r="G515" i="119" s="1"/>
  <c r="H516" i="119"/>
  <c r="H515" i="119" s="1"/>
  <c r="F516" i="119"/>
  <c r="F515" i="119" s="1"/>
  <c r="I916" i="120"/>
  <c r="I915" i="120" s="1"/>
  <c r="J917" i="120"/>
  <c r="G964" i="119"/>
  <c r="G963" i="119" s="1"/>
  <c r="G962" i="119" s="1"/>
  <c r="G961" i="119" s="1"/>
  <c r="H964" i="119"/>
  <c r="H963" i="119" s="1"/>
  <c r="H962" i="119" s="1"/>
  <c r="H961" i="119" s="1"/>
  <c r="H626" i="119"/>
  <c r="H625" i="119" s="1"/>
  <c r="F626" i="119"/>
  <c r="F625" i="119" s="1"/>
  <c r="F522" i="119"/>
  <c r="F521" i="119" s="1"/>
  <c r="G431" i="119"/>
  <c r="G430" i="119" s="1"/>
  <c r="G429" i="119" s="1"/>
  <c r="H431" i="119"/>
  <c r="H430" i="119" s="1"/>
  <c r="H429" i="119" s="1"/>
  <c r="G257" i="119"/>
  <c r="G256" i="119" s="1"/>
  <c r="H257" i="119"/>
  <c r="H256" i="119" s="1"/>
  <c r="F200" i="119"/>
  <c r="F199" i="119" s="1"/>
  <c r="F198" i="119" s="1"/>
  <c r="G278" i="120"/>
  <c r="G277" i="120" s="1"/>
  <c r="G276" i="120" s="1"/>
  <c r="H911" i="120"/>
  <c r="H910" i="120" s="1"/>
  <c r="I911" i="120"/>
  <c r="I910" i="120" s="1"/>
  <c r="G911" i="120"/>
  <c r="G910" i="120" s="1"/>
  <c r="H329" i="120"/>
  <c r="H328" i="120" s="1"/>
  <c r="H327" i="120" s="1"/>
  <c r="H326" i="120" s="1"/>
  <c r="H325" i="120" s="1"/>
  <c r="H324" i="120" s="1"/>
  <c r="H323" i="120" s="1"/>
  <c r="I329" i="120"/>
  <c r="I328" i="120" s="1"/>
  <c r="I327" i="120" s="1"/>
  <c r="I326" i="120" s="1"/>
  <c r="I325" i="120" s="1"/>
  <c r="I324" i="120" s="1"/>
  <c r="I323" i="120" s="1"/>
  <c r="G323" i="120"/>
  <c r="H151" i="120"/>
  <c r="H150" i="120" s="1"/>
  <c r="I151" i="120"/>
  <c r="I150" i="120" s="1"/>
  <c r="G152" i="120"/>
  <c r="G151" i="120" s="1"/>
  <c r="G150" i="120" s="1"/>
  <c r="G611" i="119"/>
  <c r="H611" i="119"/>
  <c r="F611" i="119"/>
  <c r="H304" i="120"/>
  <c r="G368" i="119" s="1"/>
  <c r="G367" i="119" s="1"/>
  <c r="I304" i="120"/>
  <c r="H368" i="119" s="1"/>
  <c r="H367" i="119" s="1"/>
  <c r="G304" i="120"/>
  <c r="G303" i="120" s="1"/>
  <c r="G302" i="120" s="1"/>
  <c r="H301" i="120"/>
  <c r="H300" i="120" s="1"/>
  <c r="H299" i="120" s="1"/>
  <c r="I301" i="120"/>
  <c r="I300" i="120" s="1"/>
  <c r="I299" i="120" s="1"/>
  <c r="J301" i="120"/>
  <c r="J300" i="120" s="1"/>
  <c r="J299" i="120" s="1"/>
  <c r="J125" i="120"/>
  <c r="H992" i="120"/>
  <c r="H991" i="120" s="1"/>
  <c r="I992" i="120"/>
  <c r="I991" i="120" s="1"/>
  <c r="G992" i="120"/>
  <c r="G991" i="120" s="1"/>
  <c r="H990" i="120"/>
  <c r="H989" i="120" s="1"/>
  <c r="I990" i="120"/>
  <c r="I989" i="120" s="1"/>
  <c r="G990" i="120"/>
  <c r="G989" i="120" s="1"/>
  <c r="H956" i="120"/>
  <c r="I956" i="120"/>
  <c r="H953" i="120"/>
  <c r="H952" i="120" s="1"/>
  <c r="H951" i="120" s="1"/>
  <c r="I953" i="120"/>
  <c r="I952" i="120" s="1"/>
  <c r="I951" i="120" s="1"/>
  <c r="G953" i="120"/>
  <c r="G952" i="120" s="1"/>
  <c r="G951" i="120" s="1"/>
  <c r="H934" i="120"/>
  <c r="H933" i="120" s="1"/>
  <c r="J934" i="120"/>
  <c r="G934" i="120"/>
  <c r="G933" i="120" s="1"/>
  <c r="H932" i="120"/>
  <c r="H931" i="120" s="1"/>
  <c r="I932" i="120"/>
  <c r="I931" i="120" s="1"/>
  <c r="G932" i="120"/>
  <c r="G931" i="120" s="1"/>
  <c r="H929" i="120"/>
  <c r="H928" i="120" s="1"/>
  <c r="I929" i="120"/>
  <c r="I928" i="120" s="1"/>
  <c r="G929" i="120"/>
  <c r="G928" i="120" s="1"/>
  <c r="H924" i="120"/>
  <c r="H923" i="120" s="1"/>
  <c r="I924" i="120"/>
  <c r="I923" i="120" s="1"/>
  <c r="G924" i="120"/>
  <c r="H920" i="120"/>
  <c r="H919" i="120" s="1"/>
  <c r="I920" i="120"/>
  <c r="I919" i="120" s="1"/>
  <c r="G920" i="120"/>
  <c r="G919" i="120" s="1"/>
  <c r="H908" i="120"/>
  <c r="H906" i="120" s="1"/>
  <c r="I908" i="120"/>
  <c r="I906" i="120" s="1"/>
  <c r="G908" i="120"/>
  <c r="G906" i="120" s="1"/>
  <c r="H905" i="120"/>
  <c r="H904" i="120" s="1"/>
  <c r="I905" i="120"/>
  <c r="I904" i="120" s="1"/>
  <c r="G905" i="120"/>
  <c r="G904" i="120" s="1"/>
  <c r="H843" i="120"/>
  <c r="H842" i="120" s="1"/>
  <c r="I843" i="120"/>
  <c r="I842" i="120" s="1"/>
  <c r="G844" i="120"/>
  <c r="G843" i="120" s="1"/>
  <c r="G842" i="120" s="1"/>
  <c r="H839" i="120"/>
  <c r="H838" i="120" s="1"/>
  <c r="I839" i="120"/>
  <c r="I838" i="120" s="1"/>
  <c r="H835" i="120"/>
  <c r="H834" i="120" s="1"/>
  <c r="I835" i="120"/>
  <c r="I834" i="120" s="1"/>
  <c r="G840" i="120"/>
  <c r="G839" i="120" s="1"/>
  <c r="G838" i="120" s="1"/>
  <c r="G836" i="120"/>
  <c r="G831" i="120"/>
  <c r="J806" i="120"/>
  <c r="H788" i="120"/>
  <c r="H787" i="120" s="1"/>
  <c r="H786" i="120" s="1"/>
  <c r="I788" i="120"/>
  <c r="I787" i="120" s="1"/>
  <c r="I786" i="120" s="1"/>
  <c r="H785" i="120"/>
  <c r="H784" i="120" s="1"/>
  <c r="H783" i="120" s="1"/>
  <c r="I785" i="120"/>
  <c r="I784" i="120" s="1"/>
  <c r="I783" i="120" s="1"/>
  <c r="G785" i="120"/>
  <c r="G784" i="120" s="1"/>
  <c r="G783" i="120" s="1"/>
  <c r="H759" i="120"/>
  <c r="I759" i="120"/>
  <c r="G760" i="120"/>
  <c r="H752" i="120"/>
  <c r="H751" i="120" s="1"/>
  <c r="I752" i="120"/>
  <c r="I751" i="120" s="1"/>
  <c r="J753" i="120"/>
  <c r="I749" i="120"/>
  <c r="I748" i="120" s="1"/>
  <c r="G750" i="120"/>
  <c r="G749" i="120" s="1"/>
  <c r="G748" i="120" s="1"/>
  <c r="J732" i="120"/>
  <c r="H729" i="120"/>
  <c r="H728" i="120" s="1"/>
  <c r="H727" i="120" s="1"/>
  <c r="I729" i="120"/>
  <c r="I728" i="120" s="1"/>
  <c r="I727" i="120" s="1"/>
  <c r="G728" i="120"/>
  <c r="G727" i="120" s="1"/>
  <c r="H726" i="120"/>
  <c r="H725" i="120" s="1"/>
  <c r="H724" i="120" s="1"/>
  <c r="I726" i="120"/>
  <c r="I725" i="120" s="1"/>
  <c r="I724" i="120" s="1"/>
  <c r="G726" i="120"/>
  <c r="G725" i="120" s="1"/>
  <c r="G724" i="120" s="1"/>
  <c r="H723" i="120"/>
  <c r="H722" i="120" s="1"/>
  <c r="I723" i="120"/>
  <c r="I722" i="120" s="1"/>
  <c r="G723" i="120"/>
  <c r="G722" i="120" s="1"/>
  <c r="H716" i="120"/>
  <c r="H715" i="120" s="1"/>
  <c r="I715" i="120"/>
  <c r="G716" i="120"/>
  <c r="G715" i="120" s="1"/>
  <c r="H714" i="120"/>
  <c r="H713" i="120" s="1"/>
  <c r="I714" i="120"/>
  <c r="I713" i="120" s="1"/>
  <c r="G714" i="120"/>
  <c r="G713" i="120" s="1"/>
  <c r="G712" i="120"/>
  <c r="G711" i="120" s="1"/>
  <c r="G710" i="120" s="1"/>
  <c r="H705" i="120"/>
  <c r="H704" i="120" s="1"/>
  <c r="H703" i="120" s="1"/>
  <c r="H702" i="120" s="1"/>
  <c r="I705" i="120"/>
  <c r="I704" i="120" s="1"/>
  <c r="I703" i="120" s="1"/>
  <c r="I702" i="120" s="1"/>
  <c r="G705" i="120"/>
  <c r="G704" i="120" s="1"/>
  <c r="G703" i="120" s="1"/>
  <c r="G702" i="120" s="1"/>
  <c r="H699" i="120"/>
  <c r="H698" i="120" s="1"/>
  <c r="H693" i="120" s="1"/>
  <c r="I699" i="120"/>
  <c r="I698" i="120" s="1"/>
  <c r="I693" i="120" s="1"/>
  <c r="H697" i="120"/>
  <c r="H696" i="120" s="1"/>
  <c r="H695" i="120" s="1"/>
  <c r="H694" i="120" s="1"/>
  <c r="I697" i="120"/>
  <c r="I696" i="120" s="1"/>
  <c r="I695" i="120" s="1"/>
  <c r="I694" i="120" s="1"/>
  <c r="H671" i="120"/>
  <c r="H670" i="120" s="1"/>
  <c r="I671" i="120"/>
  <c r="I670" i="120" s="1"/>
  <c r="G671" i="120"/>
  <c r="G670" i="120" s="1"/>
  <c r="H653" i="120"/>
  <c r="I653" i="120"/>
  <c r="G654" i="120"/>
  <c r="G653" i="120" s="1"/>
  <c r="H621" i="120"/>
  <c r="H620" i="120" s="1"/>
  <c r="H619" i="120" s="1"/>
  <c r="I621" i="120"/>
  <c r="I620" i="120" s="1"/>
  <c r="I619" i="120" s="1"/>
  <c r="G621" i="120"/>
  <c r="G620" i="120" s="1"/>
  <c r="G619" i="120" s="1"/>
  <c r="H618" i="120"/>
  <c r="H617" i="120" s="1"/>
  <c r="H616" i="120" s="1"/>
  <c r="I618" i="120"/>
  <c r="I617" i="120" s="1"/>
  <c r="I616" i="120" s="1"/>
  <c r="G618" i="120"/>
  <c r="G617" i="120" s="1"/>
  <c r="G616" i="120" s="1"/>
  <c r="H587" i="120"/>
  <c r="H586" i="120" s="1"/>
  <c r="H585" i="120" s="1"/>
  <c r="I587" i="120"/>
  <c r="I586" i="120" s="1"/>
  <c r="I585" i="120" s="1"/>
  <c r="G587" i="120"/>
  <c r="G586" i="120" s="1"/>
  <c r="G585" i="120" s="1"/>
  <c r="J555" i="120"/>
  <c r="J554" i="120" s="1"/>
  <c r="I557" i="120"/>
  <c r="G558" i="120"/>
  <c r="G557" i="120" s="1"/>
  <c r="H547" i="120"/>
  <c r="H546" i="120"/>
  <c r="G546" i="120"/>
  <c r="H544" i="120"/>
  <c r="H543" i="120" s="1"/>
  <c r="G544" i="120"/>
  <c r="G543" i="120" s="1"/>
  <c r="H530" i="120"/>
  <c r="I530" i="120"/>
  <c r="G530" i="120"/>
  <c r="G529" i="120" s="1"/>
  <c r="H498" i="120"/>
  <c r="H497" i="120" s="1"/>
  <c r="G499" i="120"/>
  <c r="G498" i="120" s="1"/>
  <c r="G497" i="120" s="1"/>
  <c r="H495" i="120"/>
  <c r="H494" i="120" s="1"/>
  <c r="I495" i="120"/>
  <c r="I494" i="120" s="1"/>
  <c r="G496" i="120"/>
  <c r="G495" i="120" s="1"/>
  <c r="G494" i="120" s="1"/>
  <c r="I492" i="120"/>
  <c r="H492" i="120"/>
  <c r="G493" i="120"/>
  <c r="G492" i="120" s="1"/>
  <c r="H490" i="120"/>
  <c r="H489" i="120" s="1"/>
  <c r="I490" i="120"/>
  <c r="I489" i="120" s="1"/>
  <c r="G491" i="120"/>
  <c r="G490" i="120" s="1"/>
  <c r="G489" i="120" s="1"/>
  <c r="H487" i="120"/>
  <c r="H486" i="120" s="1"/>
  <c r="I487" i="120"/>
  <c r="I486" i="120" s="1"/>
  <c r="G488" i="120"/>
  <c r="G487" i="120" s="1"/>
  <c r="G486" i="120" s="1"/>
  <c r="H484" i="120"/>
  <c r="H483" i="120" s="1"/>
  <c r="I484" i="120"/>
  <c r="I483" i="120" s="1"/>
  <c r="J485" i="120"/>
  <c r="G485" i="120"/>
  <c r="G484" i="120" s="1"/>
  <c r="G483" i="120" s="1"/>
  <c r="H468" i="120"/>
  <c r="H467" i="120" s="1"/>
  <c r="H466" i="120" s="1"/>
  <c r="I468" i="120"/>
  <c r="I467" i="120" s="1"/>
  <c r="I466" i="120" s="1"/>
  <c r="G468" i="120"/>
  <c r="G467" i="120" s="1"/>
  <c r="G466" i="120" s="1"/>
  <c r="H460" i="120"/>
  <c r="H459" i="120" s="1"/>
  <c r="H458" i="120" s="1"/>
  <c r="I460" i="120"/>
  <c r="I459" i="120" s="1"/>
  <c r="I458" i="120" s="1"/>
  <c r="G460" i="120"/>
  <c r="G459" i="120" s="1"/>
  <c r="G458" i="120" s="1"/>
  <c r="H450" i="120"/>
  <c r="I450" i="120"/>
  <c r="G450" i="120"/>
  <c r="H449" i="120"/>
  <c r="I449" i="120"/>
  <c r="H440" i="120"/>
  <c r="H439" i="120" s="1"/>
  <c r="I440" i="120"/>
  <c r="I439" i="120" s="1"/>
  <c r="G440" i="120"/>
  <c r="G439" i="120" s="1"/>
  <c r="H407" i="120"/>
  <c r="H406" i="120" s="1"/>
  <c r="I407" i="120"/>
  <c r="I406" i="120" s="1"/>
  <c r="G407" i="120"/>
  <c r="G406" i="120" s="1"/>
  <c r="H405" i="120"/>
  <c r="H404" i="120" s="1"/>
  <c r="I405" i="120"/>
  <c r="I404" i="120" s="1"/>
  <c r="G405" i="120"/>
  <c r="G404" i="120" s="1"/>
  <c r="G386" i="120"/>
  <c r="G385" i="120" s="1"/>
  <c r="G384" i="120" s="1"/>
  <c r="G380" i="120"/>
  <c r="G379" i="120" s="1"/>
  <c r="G378" i="120" s="1"/>
  <c r="G377" i="120" s="1"/>
  <c r="H356" i="120"/>
  <c r="H355" i="120" s="1"/>
  <c r="H354" i="120" s="1"/>
  <c r="I356" i="120"/>
  <c r="I355" i="120" s="1"/>
  <c r="I354" i="120" s="1"/>
  <c r="G356" i="120"/>
  <c r="G355" i="120" s="1"/>
  <c r="G354" i="120" s="1"/>
  <c r="H353" i="120"/>
  <c r="H352" i="120" s="1"/>
  <c r="H351" i="120" s="1"/>
  <c r="I353" i="120"/>
  <c r="I352" i="120" s="1"/>
  <c r="I351" i="120" s="1"/>
  <c r="G353" i="120"/>
  <c r="G352" i="120" s="1"/>
  <c r="G351" i="120" s="1"/>
  <c r="H298" i="120"/>
  <c r="H297" i="120" s="1"/>
  <c r="H296" i="120" s="1"/>
  <c r="I298" i="120"/>
  <c r="I297" i="120" s="1"/>
  <c r="I296" i="120" s="1"/>
  <c r="H294" i="120"/>
  <c r="H293" i="120" s="1"/>
  <c r="H292" i="120" s="1"/>
  <c r="G294" i="120"/>
  <c r="G293" i="120" s="1"/>
  <c r="G292" i="120" s="1"/>
  <c r="H286" i="120"/>
  <c r="H278" i="120"/>
  <c r="H277" i="120" s="1"/>
  <c r="H276" i="120" s="1"/>
  <c r="I278" i="120"/>
  <c r="I277" i="120" s="1"/>
  <c r="I276" i="120" s="1"/>
  <c r="G311" i="119"/>
  <c r="G310" i="119" s="1"/>
  <c r="G309" i="119" s="1"/>
  <c r="F310" i="119"/>
  <c r="F309" i="119" s="1"/>
  <c r="F305" i="119" s="1"/>
  <c r="F304" i="119" s="1"/>
  <c r="H238" i="120"/>
  <c r="H237" i="120" s="1"/>
  <c r="I238" i="120"/>
  <c r="I237" i="120" s="1"/>
  <c r="G237" i="120"/>
  <c r="H224" i="120"/>
  <c r="H223" i="120" s="1"/>
  <c r="I224" i="120"/>
  <c r="I223" i="120" s="1"/>
  <c r="H218" i="120"/>
  <c r="H217" i="120" s="1"/>
  <c r="I218" i="120"/>
  <c r="I217" i="120" s="1"/>
  <c r="G219" i="120"/>
  <c r="G218" i="120" s="1"/>
  <c r="G217" i="120" s="1"/>
  <c r="I208" i="120"/>
  <c r="I207" i="120" s="1"/>
  <c r="F260" i="119"/>
  <c r="F259" i="119" s="1"/>
  <c r="H205" i="120"/>
  <c r="H204" i="120" s="1"/>
  <c r="I205" i="120"/>
  <c r="I204" i="120" s="1"/>
  <c r="H175" i="120"/>
  <c r="H174" i="120" s="1"/>
  <c r="G176" i="120"/>
  <c r="G175" i="120" s="1"/>
  <c r="G174" i="120" s="1"/>
  <c r="H148" i="120"/>
  <c r="H147" i="120" s="1"/>
  <c r="I148" i="120"/>
  <c r="I147" i="120" s="1"/>
  <c r="G149" i="120"/>
  <c r="G148" i="120" s="1"/>
  <c r="G147" i="120" s="1"/>
  <c r="H145" i="120"/>
  <c r="H144" i="120" s="1"/>
  <c r="I145" i="120"/>
  <c r="I144" i="120" s="1"/>
  <c r="G146" i="120"/>
  <c r="G145" i="120" s="1"/>
  <c r="G144" i="120" s="1"/>
  <c r="H109" i="120"/>
  <c r="H108" i="120" s="1"/>
  <c r="I109" i="120"/>
  <c r="I108" i="120" s="1"/>
  <c r="G109" i="120"/>
  <c r="G108" i="120" s="1"/>
  <c r="H94" i="120"/>
  <c r="I94" i="120"/>
  <c r="G95" i="120"/>
  <c r="G94" i="120" s="1"/>
  <c r="H91" i="120"/>
  <c r="H90" i="120" s="1"/>
  <c r="I91" i="120"/>
  <c r="I90" i="120" s="1"/>
  <c r="G92" i="120"/>
  <c r="G91" i="120" s="1"/>
  <c r="G90" i="120" s="1"/>
  <c r="H85" i="120"/>
  <c r="I85" i="120"/>
  <c r="G86" i="120"/>
  <c r="G85" i="120" s="1"/>
  <c r="H71" i="120"/>
  <c r="H70" i="120" s="1"/>
  <c r="I71" i="120"/>
  <c r="I70" i="120" s="1"/>
  <c r="G71" i="120"/>
  <c r="G70" i="120" s="1"/>
  <c r="J68" i="120"/>
  <c r="H51" i="120"/>
  <c r="H50" i="120" s="1"/>
  <c r="I51" i="120"/>
  <c r="I50" i="120" s="1"/>
  <c r="G51" i="120"/>
  <c r="G50" i="120" s="1"/>
  <c r="I981" i="120"/>
  <c r="I980" i="120" s="1"/>
  <c r="H981" i="120"/>
  <c r="H980" i="120" s="1"/>
  <c r="G981" i="120"/>
  <c r="G980" i="120" s="1"/>
  <c r="I978" i="120"/>
  <c r="I977" i="120" s="1"/>
  <c r="I976" i="120" s="1"/>
  <c r="H978" i="120"/>
  <c r="H977" i="120" s="1"/>
  <c r="H976" i="120" s="1"/>
  <c r="G978" i="120"/>
  <c r="G977" i="120" s="1"/>
  <c r="G976" i="120" s="1"/>
  <c r="I974" i="120"/>
  <c r="I973" i="120" s="1"/>
  <c r="H974" i="120"/>
  <c r="H973" i="120" s="1"/>
  <c r="G974" i="120"/>
  <c r="G973" i="120" s="1"/>
  <c r="I971" i="120"/>
  <c r="I970" i="120" s="1"/>
  <c r="H971" i="120"/>
  <c r="H970" i="120" s="1"/>
  <c r="G971" i="120"/>
  <c r="G970" i="120" s="1"/>
  <c r="I967" i="120"/>
  <c r="I966" i="120" s="1"/>
  <c r="H967" i="120"/>
  <c r="H966" i="120" s="1"/>
  <c r="G967" i="120"/>
  <c r="G966" i="120" s="1"/>
  <c r="J957" i="120"/>
  <c r="J956" i="120"/>
  <c r="I938" i="120"/>
  <c r="I937" i="120" s="1"/>
  <c r="I936" i="120" s="1"/>
  <c r="I935" i="120" s="1"/>
  <c r="H938" i="120"/>
  <c r="H937" i="120" s="1"/>
  <c r="H936" i="120" s="1"/>
  <c r="H935" i="120" s="1"/>
  <c r="G938" i="120"/>
  <c r="G937" i="120" s="1"/>
  <c r="G936" i="120" s="1"/>
  <c r="G935" i="120" s="1"/>
  <c r="G923" i="120"/>
  <c r="G916" i="120"/>
  <c r="G915" i="120" s="1"/>
  <c r="I912" i="120"/>
  <c r="H912" i="120"/>
  <c r="G912" i="120"/>
  <c r="I897" i="120"/>
  <c r="I896" i="120" s="1"/>
  <c r="H897" i="120"/>
  <c r="H896" i="120" s="1"/>
  <c r="G897" i="120"/>
  <c r="G896" i="120" s="1"/>
  <c r="I894" i="120"/>
  <c r="H894" i="120"/>
  <c r="G894" i="120"/>
  <c r="I876" i="120"/>
  <c r="I875" i="120" s="1"/>
  <c r="H876" i="120"/>
  <c r="H875" i="120" s="1"/>
  <c r="G876" i="120"/>
  <c r="G875" i="120" s="1"/>
  <c r="I873" i="120"/>
  <c r="H873" i="120"/>
  <c r="G873" i="120"/>
  <c r="I871" i="120"/>
  <c r="H871" i="120"/>
  <c r="G871" i="120"/>
  <c r="I867" i="120"/>
  <c r="I866" i="120" s="1"/>
  <c r="H867" i="120"/>
  <c r="H866" i="120" s="1"/>
  <c r="G867" i="120"/>
  <c r="G866" i="120" s="1"/>
  <c r="I864" i="120"/>
  <c r="H864" i="120"/>
  <c r="G864" i="120"/>
  <c r="G858" i="120"/>
  <c r="G857" i="120" s="1"/>
  <c r="G856" i="120" s="1"/>
  <c r="G855" i="120" s="1"/>
  <c r="I858" i="120"/>
  <c r="I857" i="120" s="1"/>
  <c r="I856" i="120" s="1"/>
  <c r="I855" i="120" s="1"/>
  <c r="H858" i="120"/>
  <c r="H857" i="120" s="1"/>
  <c r="H856" i="120" s="1"/>
  <c r="H855" i="120" s="1"/>
  <c r="I853" i="120"/>
  <c r="I852" i="120" s="1"/>
  <c r="H853" i="120"/>
  <c r="H852" i="120" s="1"/>
  <c r="G853" i="120"/>
  <c r="G852" i="120" s="1"/>
  <c r="I796" i="120"/>
  <c r="H796" i="120"/>
  <c r="G796" i="120"/>
  <c r="I790" i="120"/>
  <c r="I789" i="120" s="1"/>
  <c r="H790" i="120"/>
  <c r="H789" i="120" s="1"/>
  <c r="G790" i="120"/>
  <c r="G789" i="120" s="1"/>
  <c r="I773" i="120"/>
  <c r="I772" i="120" s="1"/>
  <c r="H773" i="120"/>
  <c r="H772" i="120" s="1"/>
  <c r="G773" i="120"/>
  <c r="G772" i="120" s="1"/>
  <c r="I770" i="120"/>
  <c r="I769" i="120" s="1"/>
  <c r="H770" i="120"/>
  <c r="H769" i="120" s="1"/>
  <c r="G770" i="120"/>
  <c r="G769" i="120" s="1"/>
  <c r="I763" i="120"/>
  <c r="I762" i="120" s="1"/>
  <c r="H763" i="120"/>
  <c r="H762" i="120" s="1"/>
  <c r="G763" i="120"/>
  <c r="G762" i="120" s="1"/>
  <c r="H758" i="120"/>
  <c r="I756" i="120"/>
  <c r="I755" i="120" s="1"/>
  <c r="H756" i="120"/>
  <c r="H755" i="120" s="1"/>
  <c r="G756" i="120"/>
  <c r="G755" i="120" s="1"/>
  <c r="H749" i="120"/>
  <c r="H748" i="120" s="1"/>
  <c r="I743" i="120"/>
  <c r="I742" i="120" s="1"/>
  <c r="I741" i="120" s="1"/>
  <c r="I740" i="120" s="1"/>
  <c r="H743" i="120"/>
  <c r="H742" i="120" s="1"/>
  <c r="H741" i="120" s="1"/>
  <c r="H740" i="120" s="1"/>
  <c r="G743" i="120"/>
  <c r="G742" i="120" s="1"/>
  <c r="G741" i="120" s="1"/>
  <c r="G740" i="120" s="1"/>
  <c r="I738" i="120"/>
  <c r="I737" i="120" s="1"/>
  <c r="H738" i="120"/>
  <c r="H737" i="120" s="1"/>
  <c r="G738" i="120"/>
  <c r="G737" i="120" s="1"/>
  <c r="I735" i="120"/>
  <c r="I734" i="120" s="1"/>
  <c r="H735" i="120"/>
  <c r="H734" i="120" s="1"/>
  <c r="G735" i="120"/>
  <c r="G734" i="120" s="1"/>
  <c r="J720" i="120"/>
  <c r="J717" i="120"/>
  <c r="I706" i="120"/>
  <c r="H706" i="120"/>
  <c r="G706" i="120"/>
  <c r="I700" i="120"/>
  <c r="H700" i="120"/>
  <c r="G700" i="120"/>
  <c r="I687" i="120"/>
  <c r="H687" i="120"/>
  <c r="G687" i="120"/>
  <c r="I685" i="120"/>
  <c r="I684" i="120" s="1"/>
  <c r="H685" i="120"/>
  <c r="H684" i="120" s="1"/>
  <c r="G685" i="120"/>
  <c r="G684" i="120" s="1"/>
  <c r="I682" i="120"/>
  <c r="I681" i="120" s="1"/>
  <c r="H682" i="120"/>
  <c r="H681" i="120" s="1"/>
  <c r="G682" i="120"/>
  <c r="G681" i="120" s="1"/>
  <c r="I679" i="120"/>
  <c r="I678" i="120" s="1"/>
  <c r="I677" i="120" s="1"/>
  <c r="I676" i="120" s="1"/>
  <c r="I675" i="120" s="1"/>
  <c r="H679" i="120"/>
  <c r="H678" i="120" s="1"/>
  <c r="H677" i="120" s="1"/>
  <c r="H676" i="120" s="1"/>
  <c r="H675" i="120" s="1"/>
  <c r="G679" i="120"/>
  <c r="G678" i="120" s="1"/>
  <c r="G677" i="120" s="1"/>
  <c r="G676" i="120" s="1"/>
  <c r="G675" i="120" s="1"/>
  <c r="I673" i="120"/>
  <c r="I672" i="120" s="1"/>
  <c r="H673" i="120"/>
  <c r="H672" i="120" s="1"/>
  <c r="G673" i="120"/>
  <c r="G672" i="120" s="1"/>
  <c r="I668" i="120"/>
  <c r="H668" i="120"/>
  <c r="G668" i="120"/>
  <c r="I655" i="120"/>
  <c r="H655" i="120"/>
  <c r="G655" i="120"/>
  <c r="I648" i="120"/>
  <c r="H648" i="120"/>
  <c r="G648" i="120"/>
  <c r="I638" i="120"/>
  <c r="I637" i="120" s="1"/>
  <c r="I636" i="120" s="1"/>
  <c r="I635" i="120" s="1"/>
  <c r="H638" i="120"/>
  <c r="H637" i="120" s="1"/>
  <c r="H636" i="120" s="1"/>
  <c r="H635" i="120" s="1"/>
  <c r="G638" i="120"/>
  <c r="G637" i="120" s="1"/>
  <c r="G636" i="120" s="1"/>
  <c r="G635" i="120" s="1"/>
  <c r="I633" i="120"/>
  <c r="I632" i="120" s="1"/>
  <c r="I631" i="120" s="1"/>
  <c r="I630" i="120" s="1"/>
  <c r="H633" i="120"/>
  <c r="H632" i="120" s="1"/>
  <c r="H631" i="120" s="1"/>
  <c r="H630" i="120" s="1"/>
  <c r="G633" i="120"/>
  <c r="G632" i="120" s="1"/>
  <c r="G631" i="120" s="1"/>
  <c r="G630" i="120" s="1"/>
  <c r="I627" i="120"/>
  <c r="I626" i="120" s="1"/>
  <c r="H627" i="120"/>
  <c r="H626" i="120" s="1"/>
  <c r="G627" i="120"/>
  <c r="G626" i="120" s="1"/>
  <c r="I624" i="120"/>
  <c r="I623" i="120" s="1"/>
  <c r="H624" i="120"/>
  <c r="H623" i="120" s="1"/>
  <c r="G624" i="120"/>
  <c r="G623" i="120" s="1"/>
  <c r="I613" i="120"/>
  <c r="I612" i="120" s="1"/>
  <c r="H613" i="120"/>
  <c r="H612" i="120" s="1"/>
  <c r="G613" i="120"/>
  <c r="G612" i="120" s="1"/>
  <c r="I610" i="120"/>
  <c r="I609" i="120" s="1"/>
  <c r="H610" i="120"/>
  <c r="H609" i="120" s="1"/>
  <c r="G610" i="120"/>
  <c r="G609" i="120" s="1"/>
  <c r="G606" i="120"/>
  <c r="G605" i="120" s="1"/>
  <c r="G604" i="120" s="1"/>
  <c r="I606" i="120"/>
  <c r="I605" i="120" s="1"/>
  <c r="I604" i="120" s="1"/>
  <c r="H606" i="120"/>
  <c r="H605" i="120" s="1"/>
  <c r="H604" i="120" s="1"/>
  <c r="G602" i="120"/>
  <c r="I602" i="120"/>
  <c r="H602" i="120"/>
  <c r="G601" i="120"/>
  <c r="G600" i="120" s="1"/>
  <c r="I600" i="120"/>
  <c r="H600" i="120"/>
  <c r="I597" i="120"/>
  <c r="H597" i="120"/>
  <c r="G597" i="120"/>
  <c r="I595" i="120"/>
  <c r="H595" i="120"/>
  <c r="G595" i="120"/>
  <c r="I592" i="120"/>
  <c r="H592" i="120"/>
  <c r="G592" i="120"/>
  <c r="I590" i="120"/>
  <c r="H590" i="120"/>
  <c r="G590" i="120"/>
  <c r="H557" i="120"/>
  <c r="I551" i="120"/>
  <c r="H551" i="120"/>
  <c r="G551" i="120"/>
  <c r="I549" i="120"/>
  <c r="H549" i="120"/>
  <c r="G549" i="120"/>
  <c r="J532" i="120"/>
  <c r="G525" i="120"/>
  <c r="G524" i="120" s="1"/>
  <c r="I525" i="120"/>
  <c r="I524" i="120" s="1"/>
  <c r="H525" i="120"/>
  <c r="H524" i="120" s="1"/>
  <c r="I522" i="120"/>
  <c r="I521" i="120" s="1"/>
  <c r="H522" i="120"/>
  <c r="H521" i="120" s="1"/>
  <c r="G522" i="120"/>
  <c r="G521" i="120" s="1"/>
  <c r="I517" i="120"/>
  <c r="I516" i="120" s="1"/>
  <c r="H517" i="120"/>
  <c r="H516" i="120" s="1"/>
  <c r="G517" i="120"/>
  <c r="G516" i="120" s="1"/>
  <c r="I510" i="120"/>
  <c r="I509" i="120" s="1"/>
  <c r="I508" i="120" s="1"/>
  <c r="I507" i="120" s="1"/>
  <c r="H510" i="120"/>
  <c r="H509" i="120" s="1"/>
  <c r="H508" i="120" s="1"/>
  <c r="H507" i="120" s="1"/>
  <c r="G510" i="120"/>
  <c r="G509" i="120" s="1"/>
  <c r="G508" i="120" s="1"/>
  <c r="G507" i="120" s="1"/>
  <c r="I503" i="120"/>
  <c r="I502" i="120" s="1"/>
  <c r="H503" i="120"/>
  <c r="H502" i="120" s="1"/>
  <c r="H500" i="120" s="1"/>
  <c r="G503" i="120"/>
  <c r="G502" i="120" s="1"/>
  <c r="G500" i="120" s="1"/>
  <c r="I480" i="120"/>
  <c r="I479" i="120" s="1"/>
  <c r="H480" i="120"/>
  <c r="H479" i="120" s="1"/>
  <c r="G480" i="120"/>
  <c r="G479" i="120" s="1"/>
  <c r="I477" i="120"/>
  <c r="I476" i="120" s="1"/>
  <c r="H477" i="120"/>
  <c r="H476" i="120" s="1"/>
  <c r="G477" i="120"/>
  <c r="G476" i="120" s="1"/>
  <c r="I474" i="120"/>
  <c r="I473" i="120" s="1"/>
  <c r="H474" i="120"/>
  <c r="H473" i="120" s="1"/>
  <c r="G474" i="120"/>
  <c r="G473" i="120" s="1"/>
  <c r="I471" i="120"/>
  <c r="I470" i="120" s="1"/>
  <c r="H471" i="120"/>
  <c r="H470" i="120" s="1"/>
  <c r="G471" i="120"/>
  <c r="G470" i="120" s="1"/>
  <c r="I462" i="120"/>
  <c r="I461" i="120" s="1"/>
  <c r="H462" i="120"/>
  <c r="H461" i="120" s="1"/>
  <c r="G462" i="120"/>
  <c r="G461" i="120" s="1"/>
  <c r="I456" i="120"/>
  <c r="I455" i="120" s="1"/>
  <c r="H456" i="120"/>
  <c r="H455" i="120" s="1"/>
  <c r="G456" i="120"/>
  <c r="G455" i="120" s="1"/>
  <c r="I453" i="120"/>
  <c r="I452" i="120" s="1"/>
  <c r="H453" i="120"/>
  <c r="H452" i="120" s="1"/>
  <c r="G453" i="120"/>
  <c r="G452" i="120" s="1"/>
  <c r="I442" i="120"/>
  <c r="H442" i="120"/>
  <c r="G442" i="120"/>
  <c r="G434" i="120"/>
  <c r="G433" i="120" s="1"/>
  <c r="I434" i="120"/>
  <c r="I433" i="120" s="1"/>
  <c r="H434" i="120"/>
  <c r="H433" i="120" s="1"/>
  <c r="I431" i="120"/>
  <c r="I430" i="120" s="1"/>
  <c r="H431" i="120"/>
  <c r="H430" i="120" s="1"/>
  <c r="G431" i="120"/>
  <c r="G430" i="120" s="1"/>
  <c r="G427" i="120"/>
  <c r="G426" i="120" s="1"/>
  <c r="I427" i="120"/>
  <c r="I426" i="120" s="1"/>
  <c r="H427" i="120"/>
  <c r="H426" i="120" s="1"/>
  <c r="I424" i="120"/>
  <c r="I423" i="120" s="1"/>
  <c r="H424" i="120"/>
  <c r="H423" i="120" s="1"/>
  <c r="G424" i="120"/>
  <c r="G423" i="120" s="1"/>
  <c r="I420" i="120"/>
  <c r="I419" i="120" s="1"/>
  <c r="H420" i="120"/>
  <c r="H419" i="120" s="1"/>
  <c r="G420" i="120"/>
  <c r="G419" i="120" s="1"/>
  <c r="I417" i="120"/>
  <c r="I416" i="120" s="1"/>
  <c r="H417" i="120"/>
  <c r="H416" i="120" s="1"/>
  <c r="G417" i="120"/>
  <c r="G416" i="120" s="1"/>
  <c r="I413" i="120"/>
  <c r="I412" i="120" s="1"/>
  <c r="H413" i="120"/>
  <c r="H412" i="120" s="1"/>
  <c r="G413" i="120"/>
  <c r="G412" i="120" s="1"/>
  <c r="I410" i="120"/>
  <c r="I409" i="120" s="1"/>
  <c r="H410" i="120"/>
  <c r="H409" i="120" s="1"/>
  <c r="G410" i="120"/>
  <c r="G409" i="120" s="1"/>
  <c r="I393" i="120"/>
  <c r="H393" i="120"/>
  <c r="G393" i="120"/>
  <c r="I391" i="120"/>
  <c r="H391" i="120"/>
  <c r="G391" i="120"/>
  <c r="I382" i="120"/>
  <c r="I381" i="120" s="1"/>
  <c r="H382" i="120"/>
  <c r="H381" i="120" s="1"/>
  <c r="G382" i="120"/>
  <c r="G381" i="120" s="1"/>
  <c r="I370" i="120"/>
  <c r="I369" i="120" s="1"/>
  <c r="H370" i="120"/>
  <c r="H369" i="120" s="1"/>
  <c r="G370" i="120"/>
  <c r="G369" i="120" s="1"/>
  <c r="I367" i="120"/>
  <c r="H367" i="120"/>
  <c r="G367" i="120"/>
  <c r="I363" i="120"/>
  <c r="H363" i="120"/>
  <c r="G363" i="120"/>
  <c r="I359" i="120"/>
  <c r="I358" i="120" s="1"/>
  <c r="I357" i="120" s="1"/>
  <c r="H359" i="120"/>
  <c r="H358" i="120" s="1"/>
  <c r="H357" i="120" s="1"/>
  <c r="G359" i="120"/>
  <c r="G358" i="120" s="1"/>
  <c r="G357" i="120" s="1"/>
  <c r="I349" i="120"/>
  <c r="I348" i="120" s="1"/>
  <c r="H349" i="120"/>
  <c r="H348" i="120" s="1"/>
  <c r="G349" i="120"/>
  <c r="G348" i="120" s="1"/>
  <c r="I343" i="120"/>
  <c r="I342" i="120" s="1"/>
  <c r="H343" i="120"/>
  <c r="H342" i="120" s="1"/>
  <c r="G343" i="120"/>
  <c r="G342" i="120" s="1"/>
  <c r="I340" i="120"/>
  <c r="I339" i="120" s="1"/>
  <c r="H340" i="120"/>
  <c r="H339" i="120" s="1"/>
  <c r="G340" i="120"/>
  <c r="G339" i="120" s="1"/>
  <c r="I337" i="120"/>
  <c r="I336" i="120" s="1"/>
  <c r="H337" i="120"/>
  <c r="H336" i="120" s="1"/>
  <c r="G337" i="120"/>
  <c r="G336" i="120" s="1"/>
  <c r="I321" i="120"/>
  <c r="H321" i="120"/>
  <c r="G321" i="120"/>
  <c r="I316" i="120"/>
  <c r="H316" i="120"/>
  <c r="G316" i="120"/>
  <c r="I314" i="120"/>
  <c r="H314" i="120"/>
  <c r="G314" i="120"/>
  <c r="I308" i="120"/>
  <c r="H308" i="120"/>
  <c r="G308" i="120"/>
  <c r="I306" i="120"/>
  <c r="H306" i="120"/>
  <c r="G306" i="120"/>
  <c r="I280" i="120"/>
  <c r="I279" i="120" s="1"/>
  <c r="H280" i="120"/>
  <c r="H279" i="120" s="1"/>
  <c r="G280" i="120"/>
  <c r="G279" i="120" s="1"/>
  <c r="I274" i="120"/>
  <c r="I273" i="120" s="1"/>
  <c r="H274" i="120"/>
  <c r="H273" i="120" s="1"/>
  <c r="G274" i="120"/>
  <c r="G273" i="120" s="1"/>
  <c r="I271" i="120"/>
  <c r="I270" i="120" s="1"/>
  <c r="I269" i="120" s="1"/>
  <c r="H271" i="120"/>
  <c r="H270" i="120" s="1"/>
  <c r="H269" i="120" s="1"/>
  <c r="G271" i="120"/>
  <c r="G270" i="120" s="1"/>
  <c r="G269" i="120" s="1"/>
  <c r="I235" i="120"/>
  <c r="H235" i="120"/>
  <c r="G235" i="120"/>
  <c r="I230" i="120"/>
  <c r="H230" i="120"/>
  <c r="G230" i="120"/>
  <c r="I228" i="120"/>
  <c r="H228" i="120"/>
  <c r="G228" i="120"/>
  <c r="I227" i="120"/>
  <c r="H227" i="120"/>
  <c r="G227" i="120"/>
  <c r="I213" i="120"/>
  <c r="I212" i="120" s="1"/>
  <c r="H213" i="120"/>
  <c r="H212" i="120" s="1"/>
  <c r="G213" i="120"/>
  <c r="G212" i="120" s="1"/>
  <c r="I210" i="120"/>
  <c r="H210" i="120"/>
  <c r="G210" i="120"/>
  <c r="I200" i="120"/>
  <c r="I199" i="120" s="1"/>
  <c r="I198" i="120" s="1"/>
  <c r="H200" i="120"/>
  <c r="H199" i="120" s="1"/>
  <c r="H198" i="120" s="1"/>
  <c r="G200" i="120"/>
  <c r="G199" i="120" s="1"/>
  <c r="G198" i="120" s="1"/>
  <c r="I191" i="120"/>
  <c r="I190" i="120" s="1"/>
  <c r="H191" i="120"/>
  <c r="H190" i="120" s="1"/>
  <c r="G191" i="120"/>
  <c r="G190" i="120" s="1"/>
  <c r="I183" i="120"/>
  <c r="I182" i="120" s="1"/>
  <c r="H183" i="120"/>
  <c r="H182" i="120" s="1"/>
  <c r="G183" i="120"/>
  <c r="G182" i="120" s="1"/>
  <c r="I180" i="120"/>
  <c r="I179" i="120" s="1"/>
  <c r="I178" i="120" s="1"/>
  <c r="H180" i="120"/>
  <c r="H179" i="120" s="1"/>
  <c r="H178" i="120" s="1"/>
  <c r="G180" i="120"/>
  <c r="G179" i="120" s="1"/>
  <c r="G178" i="120" s="1"/>
  <c r="I175" i="120"/>
  <c r="I174" i="120" s="1"/>
  <c r="I172" i="120"/>
  <c r="I171" i="120" s="1"/>
  <c r="H172" i="120"/>
  <c r="H171" i="120" s="1"/>
  <c r="G172" i="120"/>
  <c r="G171" i="120" s="1"/>
  <c r="I169" i="120"/>
  <c r="H169" i="120"/>
  <c r="G169" i="120"/>
  <c r="I167" i="120"/>
  <c r="H167" i="120"/>
  <c r="G167" i="120"/>
  <c r="I164" i="120"/>
  <c r="I163" i="120" s="1"/>
  <c r="H164" i="120"/>
  <c r="H163" i="120" s="1"/>
  <c r="G164" i="120"/>
  <c r="G163" i="120" s="1"/>
  <c r="I161" i="120"/>
  <c r="I160" i="120" s="1"/>
  <c r="I159" i="120" s="1"/>
  <c r="I158" i="120" s="1"/>
  <c r="H161" i="120"/>
  <c r="H160" i="120" s="1"/>
  <c r="H159" i="120" s="1"/>
  <c r="H158" i="120" s="1"/>
  <c r="G161" i="120"/>
  <c r="G160" i="120" s="1"/>
  <c r="G159" i="120" s="1"/>
  <c r="G158" i="120" s="1"/>
  <c r="I156" i="120"/>
  <c r="I155" i="120" s="1"/>
  <c r="I154" i="120" s="1"/>
  <c r="I153" i="120" s="1"/>
  <c r="H156" i="120"/>
  <c r="H155" i="120" s="1"/>
  <c r="H154" i="120" s="1"/>
  <c r="H153" i="120" s="1"/>
  <c r="G156" i="120"/>
  <c r="G155" i="120" s="1"/>
  <c r="G154" i="120" s="1"/>
  <c r="G153" i="120" s="1"/>
  <c r="I142" i="120"/>
  <c r="I141" i="120" s="1"/>
  <c r="H142" i="120"/>
  <c r="H141" i="120" s="1"/>
  <c r="G142" i="120"/>
  <c r="G141" i="120" s="1"/>
  <c r="G139" i="120"/>
  <c r="G138" i="120" s="1"/>
  <c r="I139" i="120"/>
  <c r="I138" i="120" s="1"/>
  <c r="H139" i="120"/>
  <c r="H138" i="120" s="1"/>
  <c r="I136" i="120"/>
  <c r="I135" i="120" s="1"/>
  <c r="H136" i="120"/>
  <c r="H135" i="120" s="1"/>
  <c r="G136" i="120"/>
  <c r="G135" i="120" s="1"/>
  <c r="I131" i="120"/>
  <c r="I130" i="120" s="1"/>
  <c r="H131" i="120"/>
  <c r="H130" i="120" s="1"/>
  <c r="G131" i="120"/>
  <c r="G130" i="120" s="1"/>
  <c r="I127" i="120"/>
  <c r="I126" i="120" s="1"/>
  <c r="H127" i="120"/>
  <c r="H126" i="120" s="1"/>
  <c r="G127" i="120"/>
  <c r="G126" i="120" s="1"/>
  <c r="I121" i="120"/>
  <c r="I120" i="120" s="1"/>
  <c r="H121" i="120"/>
  <c r="H120" i="120" s="1"/>
  <c r="G121" i="120"/>
  <c r="G120" i="120" s="1"/>
  <c r="I118" i="120"/>
  <c r="I117" i="120" s="1"/>
  <c r="H118" i="120"/>
  <c r="H117" i="120" s="1"/>
  <c r="G118" i="120"/>
  <c r="G117" i="120" s="1"/>
  <c r="I115" i="120"/>
  <c r="I114" i="120" s="1"/>
  <c r="H115" i="120"/>
  <c r="H114" i="120" s="1"/>
  <c r="G115" i="120"/>
  <c r="G114" i="120" s="1"/>
  <c r="I112" i="120"/>
  <c r="I111" i="120" s="1"/>
  <c r="I110" i="120" s="1"/>
  <c r="H112" i="120"/>
  <c r="H111" i="120" s="1"/>
  <c r="H110" i="120" s="1"/>
  <c r="G112" i="120"/>
  <c r="G111" i="120" s="1"/>
  <c r="G110" i="120" s="1"/>
  <c r="F110" i="120"/>
  <c r="I101" i="120"/>
  <c r="H101" i="120"/>
  <c r="G101" i="120"/>
  <c r="I99" i="120"/>
  <c r="H99" i="120"/>
  <c r="G99" i="120"/>
  <c r="I96" i="120"/>
  <c r="H96" i="120"/>
  <c r="G96" i="120"/>
  <c r="I88" i="120"/>
  <c r="I87" i="120" s="1"/>
  <c r="H88" i="120"/>
  <c r="H87" i="120" s="1"/>
  <c r="G88" i="120"/>
  <c r="G87" i="120" s="1"/>
  <c r="I78" i="120"/>
  <c r="I77" i="120" s="1"/>
  <c r="H78" i="120"/>
  <c r="H77" i="120" s="1"/>
  <c r="G78" i="120"/>
  <c r="G77" i="120" s="1"/>
  <c r="I74" i="120"/>
  <c r="H74" i="120"/>
  <c r="G74" i="120"/>
  <c r="I72" i="120"/>
  <c r="H72" i="120"/>
  <c r="G72" i="120"/>
  <c r="I65" i="120"/>
  <c r="H65" i="120"/>
  <c r="G65" i="120"/>
  <c r="I60" i="120"/>
  <c r="H60" i="120"/>
  <c r="G60" i="120"/>
  <c r="G55" i="120"/>
  <c r="J55" i="120"/>
  <c r="I55" i="120"/>
  <c r="H55" i="120"/>
  <c r="I43" i="120"/>
  <c r="I42" i="120" s="1"/>
  <c r="I41" i="120" s="1"/>
  <c r="I40" i="120" s="1"/>
  <c r="I39" i="120" s="1"/>
  <c r="H43" i="120"/>
  <c r="H42" i="120" s="1"/>
  <c r="H41" i="120" s="1"/>
  <c r="H40" i="120" s="1"/>
  <c r="H39" i="120" s="1"/>
  <c r="G43" i="120"/>
  <c r="G42" i="120" s="1"/>
  <c r="G41" i="120" s="1"/>
  <c r="G40" i="120" s="1"/>
  <c r="G39" i="120" s="1"/>
  <c r="I34" i="120"/>
  <c r="I33" i="120" s="1"/>
  <c r="I32" i="120" s="1"/>
  <c r="H34" i="120"/>
  <c r="H33" i="120" s="1"/>
  <c r="H32" i="120" s="1"/>
  <c r="G34" i="120"/>
  <c r="G33" i="120" s="1"/>
  <c r="G32" i="120" s="1"/>
  <c r="I30" i="120"/>
  <c r="H30" i="120"/>
  <c r="G30" i="120"/>
  <c r="H26" i="120"/>
  <c r="G26" i="120"/>
  <c r="I26" i="120"/>
  <c r="I24" i="120"/>
  <c r="H24" i="120"/>
  <c r="G24" i="120"/>
  <c r="H18" i="120"/>
  <c r="H17" i="120" s="1"/>
  <c r="H16" i="120" s="1"/>
  <c r="H15" i="120" s="1"/>
  <c r="H14" i="120" s="1"/>
  <c r="G18" i="120"/>
  <c r="G17" i="120" s="1"/>
  <c r="G16" i="120" s="1"/>
  <c r="G15" i="120" s="1"/>
  <c r="G14" i="120" s="1"/>
  <c r="I18" i="120"/>
  <c r="I17" i="120" s="1"/>
  <c r="I16" i="120" s="1"/>
  <c r="I15" i="120" s="1"/>
  <c r="I14" i="120" s="1"/>
  <c r="G916" i="119"/>
  <c r="G915" i="119" s="1"/>
  <c r="G914" i="119" s="1"/>
  <c r="H916" i="119"/>
  <c r="H915" i="119" s="1"/>
  <c r="H914" i="119" s="1"/>
  <c r="F916" i="119"/>
  <c r="F915" i="119" s="1"/>
  <c r="F914" i="119" s="1"/>
  <c r="G913" i="119"/>
  <c r="G912" i="119" s="1"/>
  <c r="G911" i="119" s="1"/>
  <c r="H913" i="119"/>
  <c r="H912" i="119" s="1"/>
  <c r="H911" i="119" s="1"/>
  <c r="F913" i="119"/>
  <c r="F912" i="119" s="1"/>
  <c r="F911" i="119" s="1"/>
  <c r="G872" i="119"/>
  <c r="G871" i="119" s="1"/>
  <c r="H872" i="119"/>
  <c r="H871" i="119" s="1"/>
  <c r="F872" i="119"/>
  <c r="F871" i="119" s="1"/>
  <c r="G845" i="119"/>
  <c r="G844" i="119" s="1"/>
  <c r="H845" i="119"/>
  <c r="H844" i="119" s="1"/>
  <c r="H843" i="119" s="1"/>
  <c r="F845" i="119"/>
  <c r="F844" i="119" s="1"/>
  <c r="H805" i="119"/>
  <c r="I957" i="120" s="1"/>
  <c r="G805" i="119"/>
  <c r="H957" i="120" s="1"/>
  <c r="G519" i="119"/>
  <c r="H519" i="119"/>
  <c r="F519" i="119"/>
  <c r="F964" i="119"/>
  <c r="F963" i="119" s="1"/>
  <c r="F962" i="119" s="1"/>
  <c r="F961" i="119" s="1"/>
  <c r="G958" i="119"/>
  <c r="G957" i="119" s="1"/>
  <c r="H958" i="119"/>
  <c r="H957" i="119" s="1"/>
  <c r="G956" i="119"/>
  <c r="G955" i="119" s="1"/>
  <c r="G954" i="119" s="1"/>
  <c r="G953" i="119" s="1"/>
  <c r="G952" i="119" s="1"/>
  <c r="H956" i="119"/>
  <c r="H955" i="119" s="1"/>
  <c r="H954" i="119" s="1"/>
  <c r="H953" i="119" s="1"/>
  <c r="H952" i="119" s="1"/>
  <c r="H975" i="119"/>
  <c r="H974" i="119" s="1"/>
  <c r="G975" i="119"/>
  <c r="G974" i="119" s="1"/>
  <c r="H973" i="119"/>
  <c r="H972" i="119" s="1"/>
  <c r="G973" i="119"/>
  <c r="G972" i="119" s="1"/>
  <c r="F792" i="119"/>
  <c r="F791" i="119" s="1"/>
  <c r="G792" i="119"/>
  <c r="G791" i="119" s="1"/>
  <c r="H792" i="119"/>
  <c r="H791" i="119" s="1"/>
  <c r="G788" i="119"/>
  <c r="G787" i="119" s="1"/>
  <c r="G786" i="119" s="1"/>
  <c r="H788" i="119"/>
  <c r="H787" i="119" s="1"/>
  <c r="H786" i="119" s="1"/>
  <c r="F788" i="119"/>
  <c r="F787" i="119" s="1"/>
  <c r="F786" i="119" s="1"/>
  <c r="G781" i="119"/>
  <c r="G780" i="119" s="1"/>
  <c r="G779" i="119" s="1"/>
  <c r="G778" i="119" s="1"/>
  <c r="G777" i="119" s="1"/>
  <c r="H781" i="119"/>
  <c r="H780" i="119" s="1"/>
  <c r="H779" i="119" s="1"/>
  <c r="H778" i="119" s="1"/>
  <c r="H777" i="119" s="1"/>
  <c r="F781" i="119"/>
  <c r="F780" i="119" s="1"/>
  <c r="F779" i="119" s="1"/>
  <c r="F778" i="119" s="1"/>
  <c r="F777" i="119" s="1"/>
  <c r="G764" i="119"/>
  <c r="G763" i="119" s="1"/>
  <c r="G762" i="119" s="1"/>
  <c r="F764" i="119"/>
  <c r="F763" i="119" s="1"/>
  <c r="F762" i="119" s="1"/>
  <c r="G760" i="119"/>
  <c r="G759" i="119" s="1"/>
  <c r="H760" i="119"/>
  <c r="H759" i="119" s="1"/>
  <c r="F761" i="119"/>
  <c r="F760" i="119" s="1"/>
  <c r="F759" i="119" s="1"/>
  <c r="G757" i="119"/>
  <c r="H757" i="119"/>
  <c r="F758" i="119"/>
  <c r="F757" i="119" s="1"/>
  <c r="G747" i="119"/>
  <c r="G746" i="119" s="1"/>
  <c r="G745" i="119" s="1"/>
  <c r="H747" i="119"/>
  <c r="H746" i="119" s="1"/>
  <c r="H745" i="119" s="1"/>
  <c r="F747" i="119"/>
  <c r="F746" i="119" s="1"/>
  <c r="F745" i="119" s="1"/>
  <c r="G744" i="119"/>
  <c r="G743" i="119" s="1"/>
  <c r="G742" i="119" s="1"/>
  <c r="H744" i="119"/>
  <c r="H743" i="119" s="1"/>
  <c r="H742" i="119" s="1"/>
  <c r="F744" i="119"/>
  <c r="F743" i="119" s="1"/>
  <c r="F742" i="119" s="1"/>
  <c r="G733" i="119"/>
  <c r="G732" i="119" s="1"/>
  <c r="G731" i="119" s="1"/>
  <c r="H733" i="119"/>
  <c r="H732" i="119" s="1"/>
  <c r="H731" i="119" s="1"/>
  <c r="F733" i="119"/>
  <c r="F732" i="119" s="1"/>
  <c r="F731" i="119" s="1"/>
  <c r="G728" i="119"/>
  <c r="G727" i="119" s="1"/>
  <c r="G726" i="119" s="1"/>
  <c r="H728" i="119"/>
  <c r="H727" i="119" s="1"/>
  <c r="H726" i="119" s="1"/>
  <c r="F728" i="119"/>
  <c r="F727" i="119" s="1"/>
  <c r="F726" i="119" s="1"/>
  <c r="G704" i="119"/>
  <c r="G703" i="119" s="1"/>
  <c r="H704" i="119"/>
  <c r="H703" i="119" s="1"/>
  <c r="F704" i="119"/>
  <c r="F703" i="119" s="1"/>
  <c r="G692" i="119"/>
  <c r="H692" i="119"/>
  <c r="G691" i="119"/>
  <c r="H691" i="119"/>
  <c r="F692" i="119"/>
  <c r="G677" i="119"/>
  <c r="G676" i="119" s="1"/>
  <c r="H677" i="119"/>
  <c r="H676" i="119" s="1"/>
  <c r="F677" i="119"/>
  <c r="F676" i="119" s="1"/>
  <c r="G675" i="119"/>
  <c r="G674" i="119" s="1"/>
  <c r="H675" i="119"/>
  <c r="H674" i="119" s="1"/>
  <c r="F675" i="119"/>
  <c r="F674" i="119" s="1"/>
  <c r="G442" i="119"/>
  <c r="G441" i="119" s="1"/>
  <c r="H442" i="119"/>
  <c r="H441" i="119" s="1"/>
  <c r="F443" i="119"/>
  <c r="F442" i="119" s="1"/>
  <c r="F441" i="119" s="1"/>
  <c r="G649" i="119"/>
  <c r="G648" i="119" s="1"/>
  <c r="G647" i="119" s="1"/>
  <c r="H649" i="119"/>
  <c r="H648" i="119" s="1"/>
  <c r="H647" i="119" s="1"/>
  <c r="F649" i="119"/>
  <c r="F648" i="119" s="1"/>
  <c r="F647" i="119" s="1"/>
  <c r="G640" i="119"/>
  <c r="G639" i="119" s="1"/>
  <c r="H640" i="119"/>
  <c r="H639" i="119" s="1"/>
  <c r="F640" i="119"/>
  <c r="F639" i="119" s="1"/>
  <c r="G641" i="119"/>
  <c r="F642" i="119"/>
  <c r="F641" i="119" s="1"/>
  <c r="G637" i="119"/>
  <c r="G636" i="119" s="1"/>
  <c r="H637" i="119"/>
  <c r="H636" i="119" s="1"/>
  <c r="F637" i="119"/>
  <c r="F636" i="119" s="1"/>
  <c r="G635" i="119"/>
  <c r="G634" i="119" s="1"/>
  <c r="H635" i="119"/>
  <c r="H634" i="119" s="1"/>
  <c r="F635" i="119"/>
  <c r="F634" i="119" s="1"/>
  <c r="G630" i="119"/>
  <c r="G629" i="119" s="1"/>
  <c r="H630" i="119"/>
  <c r="H629" i="119" s="1"/>
  <c r="F631" i="119"/>
  <c r="F630" i="119" s="1"/>
  <c r="F629" i="119" s="1"/>
  <c r="G623" i="119"/>
  <c r="G622" i="119" s="1"/>
  <c r="G621" i="119" s="1"/>
  <c r="H623" i="119"/>
  <c r="H622" i="119" s="1"/>
  <c r="H621" i="119" s="1"/>
  <c r="F623" i="119"/>
  <c r="F622" i="119" s="1"/>
  <c r="F621" i="119" s="1"/>
  <c r="G618" i="119"/>
  <c r="G617" i="119" s="1"/>
  <c r="H618" i="119"/>
  <c r="H617" i="119" s="1"/>
  <c r="F618" i="119"/>
  <c r="F617" i="119" s="1"/>
  <c r="G560" i="119"/>
  <c r="G559" i="119" s="1"/>
  <c r="G558" i="119" s="1"/>
  <c r="G557" i="119" s="1"/>
  <c r="H560" i="119"/>
  <c r="H559" i="119" s="1"/>
  <c r="H558" i="119" s="1"/>
  <c r="H557" i="119" s="1"/>
  <c r="F561" i="119"/>
  <c r="F560" i="119" s="1"/>
  <c r="F559" i="119" s="1"/>
  <c r="F558" i="119" s="1"/>
  <c r="F557" i="119" s="1"/>
  <c r="G537" i="119"/>
  <c r="H537" i="119"/>
  <c r="F537" i="119"/>
  <c r="G536" i="119"/>
  <c r="H536" i="119"/>
  <c r="F536" i="119"/>
  <c r="G525" i="119"/>
  <c r="H841" i="120" s="1"/>
  <c r="H525" i="119"/>
  <c r="I841" i="120" s="1"/>
  <c r="F525" i="119"/>
  <c r="G841" i="120" s="1"/>
  <c r="F513" i="119"/>
  <c r="G467" i="119"/>
  <c r="G466" i="119" s="1"/>
  <c r="H467" i="119"/>
  <c r="H466" i="119" s="1"/>
  <c r="G464" i="119"/>
  <c r="G463" i="119" s="1"/>
  <c r="H464" i="119"/>
  <c r="H463" i="119" s="1"/>
  <c r="F465" i="119"/>
  <c r="F464" i="119" s="1"/>
  <c r="F463" i="119" s="1"/>
  <c r="G436" i="119"/>
  <c r="G435" i="119" s="1"/>
  <c r="H436" i="119"/>
  <c r="H435" i="119" s="1"/>
  <c r="F437" i="119"/>
  <c r="F436" i="119" s="1"/>
  <c r="F435" i="119" s="1"/>
  <c r="G427" i="119"/>
  <c r="G426" i="119" s="1"/>
  <c r="H427" i="119"/>
  <c r="H426" i="119" s="1"/>
  <c r="F428" i="119"/>
  <c r="F427" i="119" s="1"/>
  <c r="F426" i="119" s="1"/>
  <c r="G403" i="119"/>
  <c r="G402" i="119" s="1"/>
  <c r="H403" i="119"/>
  <c r="H402" i="119" s="1"/>
  <c r="F404" i="119"/>
  <c r="F403" i="119" s="1"/>
  <c r="F402" i="119" s="1"/>
  <c r="G401" i="119"/>
  <c r="G400" i="119" s="1"/>
  <c r="G399" i="119" s="1"/>
  <c r="H401" i="119"/>
  <c r="H400" i="119" s="1"/>
  <c r="H399" i="119" s="1"/>
  <c r="F400" i="119"/>
  <c r="F399" i="119" s="1"/>
  <c r="G397" i="119"/>
  <c r="H397" i="119"/>
  <c r="F398" i="119"/>
  <c r="F397" i="119" s="1"/>
  <c r="F361" i="119"/>
  <c r="F360" i="119" s="1"/>
  <c r="G358" i="119"/>
  <c r="G357" i="119" s="1"/>
  <c r="G356" i="119" s="1"/>
  <c r="H358" i="119"/>
  <c r="H357" i="119" s="1"/>
  <c r="H356" i="119" s="1"/>
  <c r="G275" i="119"/>
  <c r="G274" i="119" s="1"/>
  <c r="G273" i="119" s="1"/>
  <c r="H275" i="119"/>
  <c r="H274" i="119" s="1"/>
  <c r="H273" i="119" s="1"/>
  <c r="F275" i="119"/>
  <c r="F274" i="119" s="1"/>
  <c r="G293" i="119"/>
  <c r="G292" i="119" s="1"/>
  <c r="H293" i="119"/>
  <c r="H292" i="119" s="1"/>
  <c r="F292" i="119"/>
  <c r="G279" i="119"/>
  <c r="G278" i="119" s="1"/>
  <c r="H279" i="119"/>
  <c r="H278" i="119" s="1"/>
  <c r="F279" i="119"/>
  <c r="F278" i="119" s="1"/>
  <c r="G269" i="119"/>
  <c r="G268" i="119" s="1"/>
  <c r="G267" i="119" s="1"/>
  <c r="G266" i="119" s="1"/>
  <c r="G265" i="119" s="1"/>
  <c r="H269" i="119"/>
  <c r="H268" i="119" s="1"/>
  <c r="H267" i="119" s="1"/>
  <c r="H266" i="119" s="1"/>
  <c r="H265" i="119" s="1"/>
  <c r="F269" i="119"/>
  <c r="F268" i="119" s="1"/>
  <c r="F267" i="119" s="1"/>
  <c r="F266" i="119" s="1"/>
  <c r="F265" i="119" s="1"/>
  <c r="G236" i="119"/>
  <c r="G235" i="119" s="1"/>
  <c r="H236" i="119"/>
  <c r="H235" i="119" s="1"/>
  <c r="F236" i="119"/>
  <c r="F234" i="119" s="1"/>
  <c r="F233" i="119" s="1"/>
  <c r="G92" i="119"/>
  <c r="H49" i="120" s="1"/>
  <c r="H48" i="120" s="1"/>
  <c r="H92" i="119"/>
  <c r="I49" i="120" s="1"/>
  <c r="I48" i="120" s="1"/>
  <c r="G49" i="120"/>
  <c r="G48" i="120" s="1"/>
  <c r="H107" i="119"/>
  <c r="I64" i="120" s="1"/>
  <c r="I63" i="120" s="1"/>
  <c r="G107" i="119"/>
  <c r="H64" i="120" s="1"/>
  <c r="H63" i="120" s="1"/>
  <c r="G64" i="120"/>
  <c r="G63" i="120" s="1"/>
  <c r="G111" i="119"/>
  <c r="H69" i="120" s="1"/>
  <c r="H68" i="120" s="1"/>
  <c r="H111" i="119"/>
  <c r="I69" i="120" s="1"/>
  <c r="I68" i="120" s="1"/>
  <c r="G69" i="120"/>
  <c r="G68" i="120" s="1"/>
  <c r="G197" i="119"/>
  <c r="G196" i="119" s="1"/>
  <c r="G195" i="119" s="1"/>
  <c r="H197" i="119"/>
  <c r="H196" i="119" s="1"/>
  <c r="H195" i="119" s="1"/>
  <c r="F197" i="119"/>
  <c r="F196" i="119" s="1"/>
  <c r="F195" i="119" s="1"/>
  <c r="G200" i="119"/>
  <c r="G199" i="119" s="1"/>
  <c r="G198" i="119" s="1"/>
  <c r="H200" i="119"/>
  <c r="H199" i="119" s="1"/>
  <c r="H198" i="119" s="1"/>
  <c r="G206" i="119"/>
  <c r="G205" i="119" s="1"/>
  <c r="G204" i="119" s="1"/>
  <c r="H206" i="119"/>
  <c r="H205" i="119" s="1"/>
  <c r="H204" i="119" s="1"/>
  <c r="F206" i="119"/>
  <c r="F205" i="119" s="1"/>
  <c r="F204" i="119" s="1"/>
  <c r="G231" i="119"/>
  <c r="G230" i="119" s="1"/>
  <c r="G229" i="119" s="1"/>
  <c r="H231" i="119"/>
  <c r="H230" i="119" s="1"/>
  <c r="H229" i="119" s="1"/>
  <c r="F231" i="119"/>
  <c r="F230" i="119" s="1"/>
  <c r="F229" i="119" s="1"/>
  <c r="G399" i="120"/>
  <c r="G398" i="120" s="1"/>
  <c r="H399" i="120"/>
  <c r="H398" i="120" s="1"/>
  <c r="H397" i="120"/>
  <c r="H396" i="120" s="1"/>
  <c r="I397" i="120"/>
  <c r="I396" i="120" s="1"/>
  <c r="G397" i="120"/>
  <c r="G396" i="120" s="1"/>
  <c r="G97" i="119"/>
  <c r="H54" i="120" s="1"/>
  <c r="H97" i="119"/>
  <c r="I54" i="120" s="1"/>
  <c r="F97" i="119"/>
  <c r="G54" i="120" s="1"/>
  <c r="G102" i="119"/>
  <c r="H59" i="120" s="1"/>
  <c r="H102" i="119"/>
  <c r="I59" i="120" s="1"/>
  <c r="I58" i="120" s="1"/>
  <c r="F102" i="119"/>
  <c r="G59" i="120" s="1"/>
  <c r="G58" i="120" s="1"/>
  <c r="G141" i="119"/>
  <c r="G140" i="119" s="1"/>
  <c r="G139" i="119" s="1"/>
  <c r="H141" i="119"/>
  <c r="H140" i="119" s="1"/>
  <c r="H139" i="119" s="1"/>
  <c r="F141" i="119"/>
  <c r="F140" i="119" s="1"/>
  <c r="F139" i="119" s="1"/>
  <c r="G144" i="119"/>
  <c r="G143" i="119" s="1"/>
  <c r="H144" i="119"/>
  <c r="H143" i="119" s="1"/>
  <c r="F144" i="119"/>
  <c r="F143" i="119" s="1"/>
  <c r="G389" i="119"/>
  <c r="G388" i="119" s="1"/>
  <c r="G387" i="119" s="1"/>
  <c r="G386" i="119" s="1"/>
  <c r="G385" i="119" s="1"/>
  <c r="G384" i="119" s="1"/>
  <c r="G383" i="119" s="1"/>
  <c r="H389" i="119"/>
  <c r="H388" i="119" s="1"/>
  <c r="H387" i="119" s="1"/>
  <c r="H386" i="119" s="1"/>
  <c r="H385" i="119" s="1"/>
  <c r="H384" i="119" s="1"/>
  <c r="H383" i="119" s="1"/>
  <c r="F388" i="119"/>
  <c r="F387" i="119" s="1"/>
  <c r="F385" i="119" s="1"/>
  <c r="F384" i="119" s="1"/>
  <c r="F383" i="119" s="1"/>
  <c r="G361" i="119"/>
  <c r="G360" i="119" s="1"/>
  <c r="H361" i="119"/>
  <c r="H360" i="119" s="1"/>
  <c r="G354" i="119"/>
  <c r="G353" i="119" s="1"/>
  <c r="G352" i="119" s="1"/>
  <c r="F354" i="119"/>
  <c r="F353" i="119" s="1"/>
  <c r="F352" i="119" s="1"/>
  <c r="G351" i="119"/>
  <c r="G350" i="119" s="1"/>
  <c r="G349" i="119" s="1"/>
  <c r="G348" i="119" s="1"/>
  <c r="G347" i="119" s="1"/>
  <c r="H351" i="119"/>
  <c r="H350" i="119" s="1"/>
  <c r="H349" i="119" s="1"/>
  <c r="H348" i="119" s="1"/>
  <c r="H347" i="119" s="1"/>
  <c r="F351" i="119"/>
  <c r="F350" i="119" s="1"/>
  <c r="F349" i="119" s="1"/>
  <c r="F348" i="119" s="1"/>
  <c r="F347" i="119" s="1"/>
  <c r="G330" i="119"/>
  <c r="G329" i="119" s="1"/>
  <c r="G328" i="119" s="1"/>
  <c r="H330" i="119"/>
  <c r="H329" i="119" s="1"/>
  <c r="H328" i="119" s="1"/>
  <c r="F330" i="119"/>
  <c r="F329" i="119" s="1"/>
  <c r="F328" i="119" s="1"/>
  <c r="H83" i="120"/>
  <c r="I83" i="120"/>
  <c r="G84" i="120"/>
  <c r="G83" i="120" s="1"/>
  <c r="H156" i="119"/>
  <c r="I107" i="120" s="1"/>
  <c r="I106" i="120" s="1"/>
  <c r="G156" i="119"/>
  <c r="H107" i="120" s="1"/>
  <c r="H106" i="120" s="1"/>
  <c r="G107" i="120"/>
  <c r="G106" i="120" s="1"/>
  <c r="H988" i="120"/>
  <c r="H987" i="120" s="1"/>
  <c r="I988" i="120"/>
  <c r="I987" i="120" s="1"/>
  <c r="G988" i="120"/>
  <c r="G987" i="120" s="1"/>
  <c r="H667" i="120"/>
  <c r="H666" i="120" s="1"/>
  <c r="I667" i="120"/>
  <c r="I666" i="120" s="1"/>
  <c r="G667" i="120"/>
  <c r="G666" i="120" s="1"/>
  <c r="H664" i="120"/>
  <c r="I664" i="120"/>
  <c r="G665" i="120"/>
  <c r="G664" i="120" s="1"/>
  <c r="H652" i="120"/>
  <c r="H651" i="120" s="1"/>
  <c r="I652" i="120"/>
  <c r="I651" i="120" s="1"/>
  <c r="G652" i="120"/>
  <c r="G651" i="120" s="1"/>
  <c r="G19" i="119"/>
  <c r="G18" i="119" s="1"/>
  <c r="G17" i="119" s="1"/>
  <c r="G16" i="119" s="1"/>
  <c r="G15" i="119" s="1"/>
  <c r="G14" i="119" s="1"/>
  <c r="H19" i="119"/>
  <c r="H18" i="119" s="1"/>
  <c r="H17" i="119" s="1"/>
  <c r="H16" i="119" s="1"/>
  <c r="H15" i="119" s="1"/>
  <c r="H14" i="119" s="1"/>
  <c r="F19" i="119"/>
  <c r="F18" i="119" s="1"/>
  <c r="F17" i="119" s="1"/>
  <c r="F16" i="119" s="1"/>
  <c r="F15" i="119" s="1"/>
  <c r="F14" i="119" s="1"/>
  <c r="F974" i="119"/>
  <c r="F972" i="119"/>
  <c r="F970" i="119"/>
  <c r="H965" i="119"/>
  <c r="G965" i="119"/>
  <c r="F965" i="119"/>
  <c r="H959" i="119"/>
  <c r="G959" i="119"/>
  <c r="F959" i="119"/>
  <c r="H948" i="119"/>
  <c r="H947" i="119" s="1"/>
  <c r="H946" i="119" s="1"/>
  <c r="H945" i="119" s="1"/>
  <c r="G948" i="119"/>
  <c r="G947" i="119" s="1"/>
  <c r="G946" i="119" s="1"/>
  <c r="G945" i="119" s="1"/>
  <c r="F948" i="119"/>
  <c r="F947" i="119" s="1"/>
  <c r="F946" i="119" s="1"/>
  <c r="F945" i="119" s="1"/>
  <c r="F943" i="119"/>
  <c r="F942" i="119" s="1"/>
  <c r="F941" i="119" s="1"/>
  <c r="F940" i="119" s="1"/>
  <c r="H943" i="119"/>
  <c r="H942" i="119" s="1"/>
  <c r="H941" i="119" s="1"/>
  <c r="H940" i="119" s="1"/>
  <c r="G943" i="119"/>
  <c r="G942" i="119" s="1"/>
  <c r="G941" i="119" s="1"/>
  <c r="G940" i="119" s="1"/>
  <c r="H936" i="119"/>
  <c r="H935" i="119" s="1"/>
  <c r="G936" i="119"/>
  <c r="G935" i="119" s="1"/>
  <c r="F936" i="119"/>
  <c r="F935" i="119" s="1"/>
  <c r="H933" i="119"/>
  <c r="H932" i="119" s="1"/>
  <c r="G933" i="119"/>
  <c r="G932" i="119" s="1"/>
  <c r="F933" i="119"/>
  <c r="F932" i="119" s="1"/>
  <c r="H929" i="119"/>
  <c r="H928" i="119" s="1"/>
  <c r="G929" i="119"/>
  <c r="G928" i="119" s="1"/>
  <c r="F929" i="119"/>
  <c r="F928" i="119" s="1"/>
  <c r="H926" i="119"/>
  <c r="H925" i="119" s="1"/>
  <c r="G926" i="119"/>
  <c r="G925" i="119" s="1"/>
  <c r="F926" i="119"/>
  <c r="F925" i="119" s="1"/>
  <c r="H922" i="119"/>
  <c r="H921" i="119" s="1"/>
  <c r="H917" i="119" s="1"/>
  <c r="G922" i="119"/>
  <c r="G921" i="119" s="1"/>
  <c r="G917" i="119" s="1"/>
  <c r="F922" i="119"/>
  <c r="F921" i="119" s="1"/>
  <c r="F917" i="119" s="1"/>
  <c r="H908" i="119"/>
  <c r="H907" i="119" s="1"/>
  <c r="G908" i="119"/>
  <c r="G907" i="119" s="1"/>
  <c r="F908" i="119"/>
  <c r="F907" i="119" s="1"/>
  <c r="H905" i="119"/>
  <c r="H904" i="119" s="1"/>
  <c r="G905" i="119"/>
  <c r="G904" i="119" s="1"/>
  <c r="F905" i="119"/>
  <c r="F904" i="119" s="1"/>
  <c r="H901" i="119"/>
  <c r="H900" i="119" s="1"/>
  <c r="H899" i="119" s="1"/>
  <c r="G901" i="119"/>
  <c r="G900" i="119" s="1"/>
  <c r="G899" i="119" s="1"/>
  <c r="F901" i="119"/>
  <c r="F900" i="119" s="1"/>
  <c r="F899" i="119" s="1"/>
  <c r="H893" i="119"/>
  <c r="G893" i="119"/>
  <c r="F893" i="119"/>
  <c r="F891" i="119"/>
  <c r="H891" i="119"/>
  <c r="G891" i="119"/>
  <c r="H888" i="119"/>
  <c r="H887" i="119" s="1"/>
  <c r="H886" i="119" s="1"/>
  <c r="G888" i="119"/>
  <c r="G887" i="119" s="1"/>
  <c r="G886" i="119" s="1"/>
  <c r="F888" i="119"/>
  <c r="F887" i="119" s="1"/>
  <c r="F886" i="119" s="1"/>
  <c r="H831" i="119"/>
  <c r="G831" i="119"/>
  <c r="H829" i="119"/>
  <c r="G829" i="119"/>
  <c r="F829" i="119"/>
  <c r="H816" i="119"/>
  <c r="G816" i="119"/>
  <c r="F816" i="119"/>
  <c r="F809" i="119"/>
  <c r="F808" i="119" s="1"/>
  <c r="F807" i="119" s="1"/>
  <c r="F806" i="119" s="1"/>
  <c r="H809" i="119"/>
  <c r="H808" i="119" s="1"/>
  <c r="H807" i="119" s="1"/>
  <c r="H806" i="119" s="1"/>
  <c r="G809" i="119"/>
  <c r="G808" i="119" s="1"/>
  <c r="G807" i="119" s="1"/>
  <c r="G806" i="119" s="1"/>
  <c r="H800" i="119"/>
  <c r="H799" i="119" s="1"/>
  <c r="G800" i="119"/>
  <c r="G799" i="119" s="1"/>
  <c r="F800" i="119"/>
  <c r="F799" i="119" s="1"/>
  <c r="F795" i="119"/>
  <c r="F794" i="119" s="1"/>
  <c r="H795" i="119"/>
  <c r="H794" i="119" s="1"/>
  <c r="G795" i="119"/>
  <c r="G794" i="119" s="1"/>
  <c r="H774" i="119"/>
  <c r="H773" i="119" s="1"/>
  <c r="H772" i="119" s="1"/>
  <c r="H771" i="119" s="1"/>
  <c r="G774" i="119"/>
  <c r="G773" i="119" s="1"/>
  <c r="G772" i="119" s="1"/>
  <c r="G771" i="119" s="1"/>
  <c r="F774" i="119"/>
  <c r="F773" i="119" s="1"/>
  <c r="F772" i="119" s="1"/>
  <c r="F771" i="119" s="1"/>
  <c r="H769" i="119"/>
  <c r="G769" i="119"/>
  <c r="F769" i="119"/>
  <c r="H767" i="119"/>
  <c r="G767" i="119"/>
  <c r="F767" i="119"/>
  <c r="H755" i="119"/>
  <c r="H754" i="119" s="1"/>
  <c r="G755" i="119"/>
  <c r="G754" i="119" s="1"/>
  <c r="F755" i="119"/>
  <c r="F754" i="119" s="1"/>
  <c r="H752" i="119"/>
  <c r="H751" i="119" s="1"/>
  <c r="G752" i="119"/>
  <c r="G751" i="119" s="1"/>
  <c r="F752" i="119"/>
  <c r="F751" i="119" s="1"/>
  <c r="H749" i="119"/>
  <c r="H748" i="119" s="1"/>
  <c r="G749" i="119"/>
  <c r="G748" i="119" s="1"/>
  <c r="F749" i="119"/>
  <c r="F748" i="119" s="1"/>
  <c r="H739" i="119"/>
  <c r="H738" i="119" s="1"/>
  <c r="G739" i="119"/>
  <c r="G738" i="119" s="1"/>
  <c r="F739" i="119"/>
  <c r="F738" i="119" s="1"/>
  <c r="H736" i="119"/>
  <c r="H735" i="119" s="1"/>
  <c r="H734" i="119" s="1"/>
  <c r="G736" i="119"/>
  <c r="G735" i="119" s="1"/>
  <c r="G734" i="119" s="1"/>
  <c r="F736" i="119"/>
  <c r="F735" i="119" s="1"/>
  <c r="F734" i="119" s="1"/>
  <c r="F724" i="119"/>
  <c r="F723" i="119" s="1"/>
  <c r="H724" i="119"/>
  <c r="H723" i="119" s="1"/>
  <c r="G724" i="119"/>
  <c r="G723" i="119" s="1"/>
  <c r="H721" i="119"/>
  <c r="H720" i="119" s="1"/>
  <c r="G721" i="119"/>
  <c r="G720" i="119" s="1"/>
  <c r="F721" i="119"/>
  <c r="F720" i="119" s="1"/>
  <c r="H717" i="119"/>
  <c r="H716" i="119" s="1"/>
  <c r="G717" i="119"/>
  <c r="G716" i="119" s="1"/>
  <c r="F717" i="119"/>
  <c r="F716" i="119" s="1"/>
  <c r="H714" i="119"/>
  <c r="H713" i="119" s="1"/>
  <c r="G714" i="119"/>
  <c r="G713" i="119" s="1"/>
  <c r="F714" i="119"/>
  <c r="F713" i="119" s="1"/>
  <c r="H710" i="119"/>
  <c r="H709" i="119" s="1"/>
  <c r="G710" i="119"/>
  <c r="G709" i="119" s="1"/>
  <c r="F710" i="119"/>
  <c r="F709" i="119" s="1"/>
  <c r="H707" i="119"/>
  <c r="H706" i="119" s="1"/>
  <c r="G707" i="119"/>
  <c r="G706" i="119" s="1"/>
  <c r="F707" i="119"/>
  <c r="F706" i="119" s="1"/>
  <c r="H698" i="119"/>
  <c r="H697" i="119" s="1"/>
  <c r="G698" i="119"/>
  <c r="G697" i="119" s="1"/>
  <c r="F698" i="119"/>
  <c r="F697" i="119" s="1"/>
  <c r="H695" i="119"/>
  <c r="H694" i="119" s="1"/>
  <c r="G695" i="119"/>
  <c r="G694" i="119" s="1"/>
  <c r="F695" i="119"/>
  <c r="F694" i="119" s="1"/>
  <c r="H685" i="119"/>
  <c r="H684" i="119" s="1"/>
  <c r="G685" i="119"/>
  <c r="G684" i="119" s="1"/>
  <c r="F685" i="119"/>
  <c r="F684" i="119" s="1"/>
  <c r="H682" i="119"/>
  <c r="H681" i="119" s="1"/>
  <c r="G682" i="119"/>
  <c r="G681" i="119" s="1"/>
  <c r="F682" i="119"/>
  <c r="F681" i="119" s="1"/>
  <c r="H678" i="119"/>
  <c r="G678" i="119"/>
  <c r="F678" i="119"/>
  <c r="G663" i="119"/>
  <c r="H661" i="119"/>
  <c r="F658" i="119"/>
  <c r="F657" i="119" s="1"/>
  <c r="H658" i="119"/>
  <c r="H657" i="119" s="1"/>
  <c r="G658" i="119"/>
  <c r="G657" i="119" s="1"/>
  <c r="H655" i="119"/>
  <c r="G655" i="119"/>
  <c r="F655" i="119"/>
  <c r="H653" i="119"/>
  <c r="G653" i="119"/>
  <c r="F653" i="119"/>
  <c r="H644" i="119"/>
  <c r="H643" i="119" s="1"/>
  <c r="G644" i="119"/>
  <c r="G643" i="119" s="1"/>
  <c r="F644" i="119"/>
  <c r="F643" i="119" s="1"/>
  <c r="H619" i="119"/>
  <c r="G619" i="119"/>
  <c r="F619" i="119"/>
  <c r="F613" i="119"/>
  <c r="H613" i="119"/>
  <c r="G613" i="119"/>
  <c r="H609" i="119"/>
  <c r="G609" i="119"/>
  <c r="F609" i="119"/>
  <c r="H603" i="119"/>
  <c r="G603" i="119"/>
  <c r="F603" i="119"/>
  <c r="H590" i="119"/>
  <c r="H589" i="119" s="1"/>
  <c r="G590" i="119"/>
  <c r="G589" i="119" s="1"/>
  <c r="F590" i="119"/>
  <c r="F589" i="119" s="1"/>
  <c r="H587" i="119"/>
  <c r="H586" i="119" s="1"/>
  <c r="G587" i="119"/>
  <c r="G586" i="119" s="1"/>
  <c r="F587" i="119"/>
  <c r="F586" i="119" s="1"/>
  <c r="H584" i="119"/>
  <c r="H583" i="119" s="1"/>
  <c r="H582" i="119" s="1"/>
  <c r="G584" i="119"/>
  <c r="G583" i="119" s="1"/>
  <c r="G582" i="119" s="1"/>
  <c r="F584" i="119"/>
  <c r="F583" i="119" s="1"/>
  <c r="F582" i="119" s="1"/>
  <c r="H580" i="119"/>
  <c r="G580" i="119"/>
  <c r="F580" i="119"/>
  <c r="H578" i="119"/>
  <c r="H577" i="119" s="1"/>
  <c r="H576" i="119" s="1"/>
  <c r="H575" i="119" s="1"/>
  <c r="H574" i="119" s="1"/>
  <c r="G578" i="119"/>
  <c r="G577" i="119" s="1"/>
  <c r="G576" i="119" s="1"/>
  <c r="G575" i="119" s="1"/>
  <c r="G574" i="119" s="1"/>
  <c r="F578" i="119"/>
  <c r="F577" i="119" s="1"/>
  <c r="F576" i="119" s="1"/>
  <c r="F575" i="119" s="1"/>
  <c r="F574" i="119" s="1"/>
  <c r="H555" i="119"/>
  <c r="H554" i="119" s="1"/>
  <c r="G555" i="119"/>
  <c r="G554" i="119" s="1"/>
  <c r="F555" i="119"/>
  <c r="F554" i="119" s="1"/>
  <c r="H551" i="119"/>
  <c r="H550" i="119" s="1"/>
  <c r="H549" i="119" s="1"/>
  <c r="G551" i="119"/>
  <c r="G550" i="119" s="1"/>
  <c r="G549" i="119" s="1"/>
  <c r="F551" i="119"/>
  <c r="F550" i="119" s="1"/>
  <c r="F549" i="119" s="1"/>
  <c r="H547" i="119"/>
  <c r="H546" i="119" s="1"/>
  <c r="G547" i="119"/>
  <c r="G546" i="119" s="1"/>
  <c r="F547" i="119"/>
  <c r="F546" i="119" s="1"/>
  <c r="H544" i="119"/>
  <c r="G544" i="119"/>
  <c r="F544" i="119"/>
  <c r="H542" i="119"/>
  <c r="G542" i="119"/>
  <c r="F542" i="119"/>
  <c r="F538" i="119"/>
  <c r="H538" i="119"/>
  <c r="G538" i="119"/>
  <c r="H471" i="119"/>
  <c r="H470" i="119" s="1"/>
  <c r="H469" i="119" s="1"/>
  <c r="G471" i="119"/>
  <c r="G470" i="119" s="1"/>
  <c r="G469" i="119" s="1"/>
  <c r="F471" i="119"/>
  <c r="F470" i="119" s="1"/>
  <c r="F469" i="119" s="1"/>
  <c r="H449" i="119"/>
  <c r="H448" i="119" s="1"/>
  <c r="G449" i="119"/>
  <c r="G448" i="119" s="1"/>
  <c r="F449" i="119"/>
  <c r="F448" i="119" s="1"/>
  <c r="F446" i="119"/>
  <c r="F445" i="119" s="1"/>
  <c r="H446" i="119"/>
  <c r="H445" i="119" s="1"/>
  <c r="G446" i="119"/>
  <c r="G445" i="119" s="1"/>
  <c r="H439" i="119"/>
  <c r="H438" i="119" s="1"/>
  <c r="G439" i="119"/>
  <c r="G438" i="119" s="1"/>
  <c r="F439" i="119"/>
  <c r="F438" i="119" s="1"/>
  <c r="H433" i="119"/>
  <c r="H432" i="119" s="1"/>
  <c r="G433" i="119"/>
  <c r="G432" i="119" s="1"/>
  <c r="F433" i="119"/>
  <c r="F432" i="119" s="1"/>
  <c r="H421" i="119"/>
  <c r="H420" i="119" s="1"/>
  <c r="H419" i="119" s="1"/>
  <c r="H418" i="119" s="1"/>
  <c r="H417" i="119" s="1"/>
  <c r="H415" i="119" s="1"/>
  <c r="H414" i="119" s="1"/>
  <c r="G421" i="119"/>
  <c r="G420" i="119" s="1"/>
  <c r="G419" i="119" s="1"/>
  <c r="G418" i="119" s="1"/>
  <c r="G417" i="119" s="1"/>
  <c r="G415" i="119" s="1"/>
  <c r="G414" i="119" s="1"/>
  <c r="F421" i="119"/>
  <c r="F420" i="119" s="1"/>
  <c r="F419" i="119" s="1"/>
  <c r="F418" i="119" s="1"/>
  <c r="F417" i="119" s="1"/>
  <c r="F415" i="119" s="1"/>
  <c r="F414" i="119" s="1"/>
  <c r="H407" i="119"/>
  <c r="H406" i="119" s="1"/>
  <c r="H405" i="119" s="1"/>
  <c r="G407" i="119"/>
  <c r="G406" i="119" s="1"/>
  <c r="G405" i="119" s="1"/>
  <c r="F407" i="119"/>
  <c r="F406" i="119" s="1"/>
  <c r="F405" i="119" s="1"/>
  <c r="H381" i="119"/>
  <c r="G381" i="119"/>
  <c r="F381" i="119"/>
  <c r="H376" i="119"/>
  <c r="G376" i="119"/>
  <c r="F376" i="119"/>
  <c r="H374" i="119"/>
  <c r="G374" i="119"/>
  <c r="F374" i="119"/>
  <c r="H362" i="119"/>
  <c r="G362" i="119"/>
  <c r="F362" i="119"/>
  <c r="H335" i="119"/>
  <c r="H334" i="119" s="1"/>
  <c r="G335" i="119"/>
  <c r="G334" i="119" s="1"/>
  <c r="F335" i="119"/>
  <c r="F334" i="119" s="1"/>
  <c r="F333" i="119"/>
  <c r="F332" i="119" s="1"/>
  <c r="F331" i="119" s="1"/>
  <c r="H332" i="119"/>
  <c r="H331" i="119" s="1"/>
  <c r="G332" i="119"/>
  <c r="G331" i="119" s="1"/>
  <c r="H326" i="119"/>
  <c r="H325" i="119" s="1"/>
  <c r="G326" i="119"/>
  <c r="G325" i="119" s="1"/>
  <c r="F326" i="119"/>
  <c r="F325" i="119" s="1"/>
  <c r="H302" i="119"/>
  <c r="G302" i="119"/>
  <c r="F302" i="119"/>
  <c r="H297" i="119"/>
  <c r="G297" i="119"/>
  <c r="F297" i="119"/>
  <c r="H290" i="119"/>
  <c r="G290" i="119"/>
  <c r="F290" i="119"/>
  <c r="H285" i="119"/>
  <c r="G285" i="119"/>
  <c r="F285" i="119"/>
  <c r="H283" i="119"/>
  <c r="G283" i="119"/>
  <c r="F283" i="119"/>
  <c r="H282" i="119"/>
  <c r="G282" i="119"/>
  <c r="F282" i="119"/>
  <c r="H276" i="119"/>
  <c r="G276" i="119"/>
  <c r="F276" i="119"/>
  <c r="H263" i="119"/>
  <c r="H262" i="119" s="1"/>
  <c r="G263" i="119"/>
  <c r="G262" i="119" s="1"/>
  <c r="F263" i="119"/>
  <c r="F262" i="119" s="1"/>
  <c r="H254" i="119"/>
  <c r="H253" i="119" s="1"/>
  <c r="G254" i="119"/>
  <c r="G253" i="119" s="1"/>
  <c r="F254" i="119"/>
  <c r="F253" i="119" s="1"/>
  <c r="H246" i="119"/>
  <c r="H245" i="119" s="1"/>
  <c r="G246" i="119"/>
  <c r="G245" i="119" s="1"/>
  <c r="F246" i="119"/>
  <c r="F245" i="119" s="1"/>
  <c r="H238" i="119"/>
  <c r="H237" i="119" s="1"/>
  <c r="G238" i="119"/>
  <c r="G237" i="119" s="1"/>
  <c r="F238" i="119"/>
  <c r="F237" i="119" s="1"/>
  <c r="H227" i="119"/>
  <c r="H226" i="119" s="1"/>
  <c r="G227" i="119"/>
  <c r="G226" i="119" s="1"/>
  <c r="F227" i="119"/>
  <c r="F226" i="119" s="1"/>
  <c r="H224" i="119"/>
  <c r="G224" i="119"/>
  <c r="F224" i="119"/>
  <c r="H222" i="119"/>
  <c r="G222" i="119"/>
  <c r="F222" i="119"/>
  <c r="H219" i="119"/>
  <c r="H218" i="119" s="1"/>
  <c r="G219" i="119"/>
  <c r="G218" i="119" s="1"/>
  <c r="F219" i="119"/>
  <c r="F218" i="119" s="1"/>
  <c r="H216" i="119"/>
  <c r="G216" i="119"/>
  <c r="F216" i="119"/>
  <c r="H215" i="119"/>
  <c r="H214" i="119" s="1"/>
  <c r="H213" i="119" s="1"/>
  <c r="G215" i="119"/>
  <c r="G214" i="119" s="1"/>
  <c r="G213" i="119" s="1"/>
  <c r="F215" i="119"/>
  <c r="F214" i="119" s="1"/>
  <c r="F213" i="119" s="1"/>
  <c r="H211" i="119"/>
  <c r="H209" i="119" s="1"/>
  <c r="G211" i="119"/>
  <c r="G209" i="119" s="1"/>
  <c r="F211" i="119"/>
  <c r="F209" i="119" s="1"/>
  <c r="H210" i="119"/>
  <c r="H208" i="119" s="1"/>
  <c r="H207" i="119" s="1"/>
  <c r="G210" i="119"/>
  <c r="G208" i="119" s="1"/>
  <c r="G207" i="119" s="1"/>
  <c r="F210" i="119"/>
  <c r="F208" i="119" s="1"/>
  <c r="F207" i="119" s="1"/>
  <c r="H202" i="119"/>
  <c r="H201" i="119" s="1"/>
  <c r="G202" i="119"/>
  <c r="G201" i="119" s="1"/>
  <c r="F202" i="119"/>
  <c r="F201" i="119" s="1"/>
  <c r="H193" i="119"/>
  <c r="H192" i="119" s="1"/>
  <c r="G193" i="119"/>
  <c r="G192" i="119" s="1"/>
  <c r="F193" i="119"/>
  <c r="F192" i="119" s="1"/>
  <c r="H190" i="119"/>
  <c r="H189" i="119" s="1"/>
  <c r="G190" i="119"/>
  <c r="G189" i="119" s="1"/>
  <c r="F190" i="119"/>
  <c r="F189" i="119" s="1"/>
  <c r="H187" i="119"/>
  <c r="H186" i="119" s="1"/>
  <c r="G187" i="119"/>
  <c r="G186" i="119" s="1"/>
  <c r="F187" i="119"/>
  <c r="F186" i="119" s="1"/>
  <c r="H182" i="119"/>
  <c r="H181" i="119" s="1"/>
  <c r="G182" i="119"/>
  <c r="G181" i="119" s="1"/>
  <c r="F182" i="119"/>
  <c r="F181" i="119" s="1"/>
  <c r="H178" i="119"/>
  <c r="H177" i="119" s="1"/>
  <c r="G178" i="119"/>
  <c r="G177" i="119" s="1"/>
  <c r="F178" i="119"/>
  <c r="F177" i="119" s="1"/>
  <c r="H172" i="119"/>
  <c r="H171" i="119" s="1"/>
  <c r="G172" i="119"/>
  <c r="G171" i="119" s="1"/>
  <c r="F172" i="119"/>
  <c r="F171" i="119" s="1"/>
  <c r="F169" i="119"/>
  <c r="F168" i="119" s="1"/>
  <c r="H169" i="119"/>
  <c r="H168" i="119" s="1"/>
  <c r="G169" i="119"/>
  <c r="G168" i="119" s="1"/>
  <c r="H166" i="119"/>
  <c r="H165" i="119" s="1"/>
  <c r="G166" i="119"/>
  <c r="G165" i="119" s="1"/>
  <c r="F166" i="119"/>
  <c r="F165" i="119" s="1"/>
  <c r="H163" i="119"/>
  <c r="G163" i="119"/>
  <c r="F163" i="119"/>
  <c r="H161" i="119"/>
  <c r="G161" i="119"/>
  <c r="F161" i="119"/>
  <c r="H157" i="119"/>
  <c r="G157" i="119"/>
  <c r="F157" i="119"/>
  <c r="H150" i="119"/>
  <c r="H147" i="119" s="1"/>
  <c r="G150" i="119"/>
  <c r="G147" i="119" s="1"/>
  <c r="F150" i="119"/>
  <c r="F147" i="119" s="1"/>
  <c r="H148" i="119"/>
  <c r="G148" i="119"/>
  <c r="F148" i="119"/>
  <c r="H145" i="119"/>
  <c r="G145" i="119"/>
  <c r="F145" i="119"/>
  <c r="H137" i="119"/>
  <c r="G137" i="119"/>
  <c r="F137" i="119"/>
  <c r="H135" i="119"/>
  <c r="H134" i="119" s="1"/>
  <c r="G135" i="119"/>
  <c r="G134" i="119" s="1"/>
  <c r="F135" i="119"/>
  <c r="F134" i="119" s="1"/>
  <c r="H132" i="119"/>
  <c r="G132" i="119"/>
  <c r="F132" i="119"/>
  <c r="F130" i="119"/>
  <c r="H130" i="119"/>
  <c r="H125" i="119"/>
  <c r="H124" i="119" s="1"/>
  <c r="G125" i="119"/>
  <c r="G124" i="119" s="1"/>
  <c r="F125" i="119"/>
  <c r="F124" i="119" s="1"/>
  <c r="H122" i="119"/>
  <c r="H121" i="119" s="1"/>
  <c r="G122" i="119"/>
  <c r="G121" i="119" s="1"/>
  <c r="F122" i="119"/>
  <c r="F121" i="119" s="1"/>
  <c r="H119" i="119"/>
  <c r="H118" i="119" s="1"/>
  <c r="G119" i="119"/>
  <c r="G118" i="119" s="1"/>
  <c r="G117" i="119" s="1"/>
  <c r="F119" i="119"/>
  <c r="F118" i="119" s="1"/>
  <c r="F117" i="119" s="1"/>
  <c r="H114" i="119"/>
  <c r="G114" i="119"/>
  <c r="F114" i="119"/>
  <c r="H112" i="119"/>
  <c r="G112" i="119"/>
  <c r="F112" i="119"/>
  <c r="H108" i="119"/>
  <c r="G108" i="119"/>
  <c r="F108" i="119"/>
  <c r="F106" i="119"/>
  <c r="H103" i="119"/>
  <c r="G103" i="119"/>
  <c r="F103" i="119"/>
  <c r="H98" i="119"/>
  <c r="G98" i="119"/>
  <c r="F98" i="119"/>
  <c r="H93" i="119"/>
  <c r="G93" i="119"/>
  <c r="F93" i="119"/>
  <c r="F86" i="119"/>
  <c r="F85" i="119" s="1"/>
  <c r="F84" i="119" s="1"/>
  <c r="F83" i="119" s="1"/>
  <c r="F82" i="119" s="1"/>
  <c r="H86" i="119"/>
  <c r="H85" i="119" s="1"/>
  <c r="H84" i="119" s="1"/>
  <c r="H83" i="119" s="1"/>
  <c r="H82" i="119" s="1"/>
  <c r="G86" i="119"/>
  <c r="G85" i="119" s="1"/>
  <c r="G84" i="119" s="1"/>
  <c r="G83" i="119" s="1"/>
  <c r="G82" i="119" s="1"/>
  <c r="H80" i="119"/>
  <c r="H79" i="119" s="1"/>
  <c r="H78" i="119" s="1"/>
  <c r="H77" i="119" s="1"/>
  <c r="H76" i="119" s="1"/>
  <c r="G80" i="119"/>
  <c r="G79" i="119" s="1"/>
  <c r="G78" i="119" s="1"/>
  <c r="G77" i="119" s="1"/>
  <c r="G76" i="119" s="1"/>
  <c r="F80" i="119"/>
  <c r="F79" i="119" s="1"/>
  <c r="F78" i="119" s="1"/>
  <c r="F77" i="119" s="1"/>
  <c r="F76" i="119" s="1"/>
  <c r="H74" i="119"/>
  <c r="G74" i="119"/>
  <c r="F74" i="119"/>
  <c r="H73" i="119"/>
  <c r="H72" i="119" s="1"/>
  <c r="G73" i="119"/>
  <c r="G72" i="119" s="1"/>
  <c r="F73" i="119"/>
  <c r="F72" i="119" s="1"/>
  <c r="H67" i="119"/>
  <c r="G67" i="119"/>
  <c r="F67" i="119"/>
  <c r="H65" i="119"/>
  <c r="G65" i="119"/>
  <c r="F65" i="119"/>
  <c r="H63" i="119"/>
  <c r="F63" i="119"/>
  <c r="H60" i="119"/>
  <c r="G60" i="119"/>
  <c r="F60" i="119"/>
  <c r="G56" i="119"/>
  <c r="F56" i="119"/>
  <c r="G54" i="119"/>
  <c r="H45" i="119"/>
  <c r="G45" i="119"/>
  <c r="F45" i="119"/>
  <c r="H41" i="119"/>
  <c r="F41" i="119"/>
  <c r="G41" i="119"/>
  <c r="H39" i="119"/>
  <c r="F39" i="119"/>
  <c r="G39" i="119"/>
  <c r="H33" i="119"/>
  <c r="G33" i="119"/>
  <c r="F33" i="119"/>
  <c r="H31" i="119"/>
  <c r="G31" i="119"/>
  <c r="F31" i="119"/>
  <c r="H29" i="119"/>
  <c r="G29" i="119"/>
  <c r="F29" i="119"/>
  <c r="H26" i="119"/>
  <c r="G26" i="119"/>
  <c r="F26" i="119"/>
  <c r="D278" i="113"/>
  <c r="E51" i="113"/>
  <c r="H948" i="120" s="1"/>
  <c r="H947" i="120" s="1"/>
  <c r="H946" i="120" s="1"/>
  <c r="H945" i="120" s="1"/>
  <c r="F51" i="113"/>
  <c r="D51" i="113"/>
  <c r="G948" i="120" s="1"/>
  <c r="G947" i="120" s="1"/>
  <c r="G946" i="120" s="1"/>
  <c r="G945" i="120" s="1"/>
  <c r="E64" i="113"/>
  <c r="F64" i="113"/>
  <c r="I732" i="120" s="1"/>
  <c r="I731" i="120" s="1"/>
  <c r="I730" i="120" s="1"/>
  <c r="D64" i="113"/>
  <c r="G732" i="120" s="1"/>
  <c r="G731" i="120" s="1"/>
  <c r="G730" i="120" s="1"/>
  <c r="D170" i="113"/>
  <c r="G205" i="120"/>
  <c r="G204" i="120" s="1"/>
  <c r="I252" i="120"/>
  <c r="I251" i="120" s="1"/>
  <c r="G252" i="120"/>
  <c r="G251" i="120" s="1"/>
  <c r="E156" i="113"/>
  <c r="F156" i="113"/>
  <c r="F155" i="113" s="1"/>
  <c r="D156" i="113"/>
  <c r="D155" i="113" s="1"/>
  <c r="E244" i="113"/>
  <c r="E308" i="113"/>
  <c r="F308" i="113"/>
  <c r="D219" i="113"/>
  <c r="G788" i="120"/>
  <c r="G787" i="120" s="1"/>
  <c r="G786" i="120" s="1"/>
  <c r="F328" i="113"/>
  <c r="E328" i="113"/>
  <c r="E238" i="113"/>
  <c r="G822" i="119" s="1"/>
  <c r="H822" i="119"/>
  <c r="D238" i="113"/>
  <c r="F822" i="119" s="1"/>
  <c r="G536" i="120" s="1"/>
  <c r="E234" i="113"/>
  <c r="D234" i="113"/>
  <c r="E231" i="113"/>
  <c r="F231" i="113"/>
  <c r="D228" i="113"/>
  <c r="D229" i="113" s="1"/>
  <c r="G286" i="120" s="1"/>
  <c r="E91" i="113"/>
  <c r="G606" i="119" s="1"/>
  <c r="H893" i="120" s="1"/>
  <c r="F91" i="113"/>
  <c r="H606" i="119" s="1"/>
  <c r="I893" i="120" s="1"/>
  <c r="D91" i="113"/>
  <c r="F606" i="119" s="1"/>
  <c r="E109" i="113"/>
  <c r="E65" i="113"/>
  <c r="F65" i="113"/>
  <c r="D65" i="113"/>
  <c r="E316" i="113"/>
  <c r="H320" i="120" s="1"/>
  <c r="H319" i="120" s="1"/>
  <c r="H318" i="120" s="1"/>
  <c r="F316" i="113"/>
  <c r="I320" i="120" s="1"/>
  <c r="I319" i="120" s="1"/>
  <c r="I318" i="120" s="1"/>
  <c r="D316" i="113"/>
  <c r="G320" i="120" s="1"/>
  <c r="G319" i="120" s="1"/>
  <c r="G318" i="120" s="1"/>
  <c r="E312" i="113"/>
  <c r="F312" i="113"/>
  <c r="D312" i="113"/>
  <c r="E54" i="113"/>
  <c r="G493" i="119" s="1"/>
  <c r="F54" i="113"/>
  <c r="H493" i="119" s="1"/>
  <c r="D54" i="113"/>
  <c r="E53" i="113"/>
  <c r="H809" i="120" s="1"/>
  <c r="H808" i="120" s="1"/>
  <c r="H807" i="120" s="1"/>
  <c r="F53" i="113"/>
  <c r="I809" i="120" s="1"/>
  <c r="I808" i="120" s="1"/>
  <c r="I807" i="120" s="1"/>
  <c r="D53" i="113"/>
  <c r="H802" i="120"/>
  <c r="H801" i="120" s="1"/>
  <c r="I802" i="120"/>
  <c r="I801" i="120" s="1"/>
  <c r="G803" i="120"/>
  <c r="G802" i="120" s="1"/>
  <c r="G801" i="120" s="1"/>
  <c r="E311" i="113"/>
  <c r="H189" i="120" s="1"/>
  <c r="F311" i="113"/>
  <c r="I189" i="120" s="1"/>
  <c r="D311" i="113"/>
  <c r="E317" i="113"/>
  <c r="H38" i="120" s="1"/>
  <c r="H37" i="120" s="1"/>
  <c r="H36" i="120" s="1"/>
  <c r="F317" i="113"/>
  <c r="I38" i="120" s="1"/>
  <c r="I37" i="120" s="1"/>
  <c r="I36" i="120" s="1"/>
  <c r="D317" i="113"/>
  <c r="E307" i="113"/>
  <c r="F307" i="113"/>
  <c r="E305" i="113"/>
  <c r="F305" i="113"/>
  <c r="D305" i="113"/>
  <c r="E302" i="113"/>
  <c r="H125" i="120" s="1"/>
  <c r="H124" i="120" s="1"/>
  <c r="H123" i="120" s="1"/>
  <c r="F302" i="113"/>
  <c r="I125" i="120" s="1"/>
  <c r="I124" i="120" s="1"/>
  <c r="I123" i="120" s="1"/>
  <c r="H799" i="120"/>
  <c r="H798" i="120" s="1"/>
  <c r="I799" i="120"/>
  <c r="I798" i="120" s="1"/>
  <c r="G799" i="120"/>
  <c r="G798" i="120" s="1"/>
  <c r="E49" i="113"/>
  <c r="F49" i="113"/>
  <c r="D49" i="113"/>
  <c r="E313" i="113"/>
  <c r="F313" i="113"/>
  <c r="D313" i="113"/>
  <c r="D277" i="113"/>
  <c r="F958" i="119"/>
  <c r="F957" i="119" s="1"/>
  <c r="F327" i="113"/>
  <c r="G125" i="120"/>
  <c r="G124" i="120" s="1"/>
  <c r="G123" i="120" s="1"/>
  <c r="F242" i="113"/>
  <c r="E242" i="113"/>
  <c r="D242" i="113"/>
  <c r="F239" i="113"/>
  <c r="E239" i="113"/>
  <c r="D239" i="113"/>
  <c r="I286" i="120"/>
  <c r="F225" i="113"/>
  <c r="F224" i="113" s="1"/>
  <c r="E225" i="113"/>
  <c r="E224" i="113" s="1"/>
  <c r="D225" i="113"/>
  <c r="D224" i="113" s="1"/>
  <c r="F216" i="113"/>
  <c r="E216" i="113"/>
  <c r="F213" i="113"/>
  <c r="F212" i="113"/>
  <c r="I294" i="120" s="1"/>
  <c r="I293" i="120" s="1"/>
  <c r="I292" i="120" s="1"/>
  <c r="F211" i="113"/>
  <c r="E210" i="113"/>
  <c r="F202" i="113"/>
  <c r="E202" i="113"/>
  <c r="F194" i="113"/>
  <c r="E194" i="113"/>
  <c r="D194" i="113"/>
  <c r="F191" i="113"/>
  <c r="E191" i="113"/>
  <c r="D191" i="113"/>
  <c r="F188" i="113"/>
  <c r="E188" i="113"/>
  <c r="D188" i="113"/>
  <c r="F186" i="113"/>
  <c r="E186" i="113"/>
  <c r="D186" i="113"/>
  <c r="F184" i="113"/>
  <c r="E184" i="113"/>
  <c r="D184" i="113"/>
  <c r="F180" i="113"/>
  <c r="E180" i="113"/>
  <c r="D180" i="113"/>
  <c r="F177" i="113"/>
  <c r="E177" i="113"/>
  <c r="D177" i="113"/>
  <c r="F175" i="113"/>
  <c r="E175" i="113"/>
  <c r="F172" i="113"/>
  <c r="E172" i="113"/>
  <c r="D172" i="113"/>
  <c r="E169" i="113"/>
  <c r="F169" i="113"/>
  <c r="F167" i="113"/>
  <c r="E167" i="113"/>
  <c r="F164" i="113"/>
  <c r="E164" i="113"/>
  <c r="F161" i="113"/>
  <c r="E161" i="113"/>
  <c r="D161" i="113"/>
  <c r="F158" i="113"/>
  <c r="E158" i="113"/>
  <c r="D158" i="113"/>
  <c r="F154" i="113"/>
  <c r="E154" i="113"/>
  <c r="D154" i="113"/>
  <c r="F151" i="113"/>
  <c r="E151" i="113"/>
  <c r="D151" i="113"/>
  <c r="F147" i="113"/>
  <c r="E147" i="113"/>
  <c r="F144" i="113"/>
  <c r="E144" i="113"/>
  <c r="D144" i="113"/>
  <c r="F141" i="113"/>
  <c r="E141" i="113"/>
  <c r="D141" i="113"/>
  <c r="D138" i="113"/>
  <c r="F138" i="113"/>
  <c r="E138" i="113"/>
  <c r="F135" i="113"/>
  <c r="E135" i="113"/>
  <c r="D135" i="113"/>
  <c r="F128" i="113"/>
  <c r="E128" i="113"/>
  <c r="D128" i="113"/>
  <c r="F115" i="113"/>
  <c r="E115" i="113"/>
  <c r="D115" i="113"/>
  <c r="F112" i="113"/>
  <c r="E112" i="113"/>
  <c r="D112" i="113"/>
  <c r="F108" i="113"/>
  <c r="D108" i="113"/>
  <c r="F106" i="113"/>
  <c r="E106" i="113"/>
  <c r="D106" i="113"/>
  <c r="F99" i="113"/>
  <c r="E99" i="113"/>
  <c r="D99" i="113"/>
  <c r="F96" i="113"/>
  <c r="E96" i="113"/>
  <c r="D96" i="113"/>
  <c r="D93" i="113"/>
  <c r="F93" i="113"/>
  <c r="E93" i="113"/>
  <c r="D88" i="113"/>
  <c r="F88" i="113"/>
  <c r="E88" i="113"/>
  <c r="D70" i="113"/>
  <c r="D69" i="113" s="1"/>
  <c r="F70" i="113"/>
  <c r="F69" i="113" s="1"/>
  <c r="E70" i="113"/>
  <c r="E69" i="113" s="1"/>
  <c r="F66" i="113"/>
  <c r="E66" i="113"/>
  <c r="F61" i="113"/>
  <c r="E61" i="113"/>
  <c r="F57" i="113"/>
  <c r="E57" i="113"/>
  <c r="D57" i="113"/>
  <c r="D46" i="113"/>
  <c r="F46" i="113"/>
  <c r="E46" i="113"/>
  <c r="F28" i="113"/>
  <c r="E28" i="113"/>
  <c r="F25" i="113"/>
  <c r="E25" i="113"/>
  <c r="F21" i="113"/>
  <c r="E21" i="113"/>
  <c r="D21" i="113"/>
  <c r="D17" i="113"/>
  <c r="F14" i="113"/>
  <c r="E14" i="113"/>
  <c r="D164" i="113"/>
  <c r="G23" i="120" l="1"/>
  <c r="F38" i="119"/>
  <c r="F232" i="119"/>
  <c r="E13" i="113"/>
  <c r="F13" i="113"/>
  <c r="D13" i="113"/>
  <c r="F53" i="119"/>
  <c r="G663" i="120"/>
  <c r="G662" i="120" s="1"/>
  <c r="G661" i="120" s="1"/>
  <c r="G957" i="120"/>
  <c r="G589" i="120"/>
  <c r="G62" i="120"/>
  <c r="H285" i="120"/>
  <c r="H284" i="120" s="1"/>
  <c r="H283" i="120" s="1"/>
  <c r="H282" i="120" s="1"/>
  <c r="H268" i="120" s="1"/>
  <c r="E230" i="113"/>
  <c r="I285" i="120"/>
  <c r="I284" i="120" s="1"/>
  <c r="I283" i="120" s="1"/>
  <c r="I282" i="120" s="1"/>
  <c r="I268" i="120" s="1"/>
  <c r="F230" i="113"/>
  <c r="G768" i="120"/>
  <c r="F373" i="119"/>
  <c r="F372" i="119" s="1"/>
  <c r="G650" i="120"/>
  <c r="G177" i="120"/>
  <c r="I166" i="120"/>
  <c r="H444" i="119"/>
  <c r="H425" i="119" s="1"/>
  <c r="G501" i="120"/>
  <c r="I863" i="120"/>
  <c r="I862" i="120" s="1"/>
  <c r="I861" i="120" s="1"/>
  <c r="H91" i="119"/>
  <c r="H90" i="119" s="1"/>
  <c r="H129" i="119"/>
  <c r="G890" i="119"/>
  <c r="I594" i="120"/>
  <c r="H594" i="120"/>
  <c r="I390" i="120"/>
  <c r="F341" i="119"/>
  <c r="D147" i="113"/>
  <c r="F487" i="119"/>
  <c r="F486" i="119" s="1"/>
  <c r="F485" i="119" s="1"/>
  <c r="G189" i="120"/>
  <c r="G188" i="120" s="1"/>
  <c r="G187" i="120" s="1"/>
  <c r="G186" i="120" s="1"/>
  <c r="E108" i="113"/>
  <c r="H917" i="120"/>
  <c r="H916" i="120" s="1"/>
  <c r="G627" i="119"/>
  <c r="G626" i="119" s="1"/>
  <c r="G469" i="120"/>
  <c r="G444" i="119"/>
  <c r="G425" i="119" s="1"/>
  <c r="G809" i="120"/>
  <c r="G808" i="120" s="1"/>
  <c r="G807" i="120" s="1"/>
  <c r="G98" i="120"/>
  <c r="I335" i="120"/>
  <c r="I334" i="120" s="1"/>
  <c r="H830" i="120"/>
  <c r="H828" i="120" s="1"/>
  <c r="H827" i="120" s="1"/>
  <c r="G622" i="120"/>
  <c r="H134" i="120"/>
  <c r="H133" i="120" s="1"/>
  <c r="H129" i="120" s="1"/>
  <c r="H622" i="120"/>
  <c r="F444" i="119"/>
  <c r="H70" i="119"/>
  <c r="D169" i="113"/>
  <c r="D66" i="113"/>
  <c r="H429" i="120"/>
  <c r="G830" i="120"/>
  <c r="G829" i="120" s="1"/>
  <c r="H24" i="119"/>
  <c r="H23" i="119" s="1"/>
  <c r="G134" i="120"/>
  <c r="G133" i="120" s="1"/>
  <c r="G129" i="120" s="1"/>
  <c r="H106" i="119"/>
  <c r="H155" i="119"/>
  <c r="H154" i="119" s="1"/>
  <c r="H153" i="119" s="1"/>
  <c r="G548" i="120"/>
  <c r="H422" i="120"/>
  <c r="H469" i="120"/>
  <c r="G608" i="120"/>
  <c r="I362" i="120"/>
  <c r="I361" i="120" s="1"/>
  <c r="H501" i="120"/>
  <c r="I469" i="120"/>
  <c r="H548" i="120"/>
  <c r="G599" i="120"/>
  <c r="I733" i="120"/>
  <c r="H390" i="120"/>
  <c r="I408" i="120"/>
  <c r="I451" i="120"/>
  <c r="I934" i="120"/>
  <c r="I933" i="120" s="1"/>
  <c r="I930" i="120" s="1"/>
  <c r="H642" i="119"/>
  <c r="H641" i="119" s="1"/>
  <c r="H638" i="119" s="1"/>
  <c r="I188" i="120"/>
  <c r="I187" i="120" s="1"/>
  <c r="I186" i="120" s="1"/>
  <c r="G969" i="120"/>
  <c r="G965" i="120" s="1"/>
  <c r="G964" i="120" s="1"/>
  <c r="G963" i="120" s="1"/>
  <c r="H188" i="120"/>
  <c r="H187" i="120" s="1"/>
  <c r="H186" i="120" s="1"/>
  <c r="I313" i="120"/>
  <c r="I312" i="120" s="1"/>
  <c r="I311" i="120" s="1"/>
  <c r="I310" i="120" s="1"/>
  <c r="I216" i="120"/>
  <c r="H216" i="120"/>
  <c r="G903" i="120"/>
  <c r="H903" i="120"/>
  <c r="H902" i="120" s="1"/>
  <c r="H901" i="120" s="1"/>
  <c r="F91" i="119"/>
  <c r="F90" i="119" s="1"/>
  <c r="F110" i="119"/>
  <c r="G185" i="119"/>
  <c r="G184" i="119" s="1"/>
  <c r="G180" i="119" s="1"/>
  <c r="H693" i="119"/>
  <c r="F705" i="119"/>
  <c r="H512" i="119"/>
  <c r="H511" i="119" s="1"/>
  <c r="H510" i="119" s="1"/>
  <c r="H509" i="119" s="1"/>
  <c r="H870" i="119"/>
  <c r="H98" i="120"/>
  <c r="G719" i="119"/>
  <c r="E183" i="113"/>
  <c r="E332" i="113"/>
  <c r="H23" i="120"/>
  <c r="H22" i="120" s="1"/>
  <c r="H21" i="120" s="1"/>
  <c r="H20" i="120" s="1"/>
  <c r="I499" i="120"/>
  <c r="I498" i="120" s="1"/>
  <c r="I497" i="120" s="1"/>
  <c r="E90" i="113"/>
  <c r="H806" i="120"/>
  <c r="H805" i="120" s="1"/>
  <c r="H804" i="120" s="1"/>
  <c r="H795" i="120" s="1"/>
  <c r="H794" i="120" s="1"/>
  <c r="H793" i="120" s="1"/>
  <c r="G110" i="119"/>
  <c r="G661" i="119"/>
  <c r="G660" i="119" s="1"/>
  <c r="H766" i="119"/>
  <c r="H765" i="119" s="1"/>
  <c r="G512" i="119"/>
  <c r="G511" i="119" s="1"/>
  <c r="G510" i="119" s="1"/>
  <c r="G509" i="119" s="1"/>
  <c r="G803" i="119"/>
  <c r="G802" i="119" s="1"/>
  <c r="G699" i="120"/>
  <c r="G698" i="120" s="1"/>
  <c r="G693" i="120" s="1"/>
  <c r="G806" i="120"/>
  <c r="G805" i="120" s="1"/>
  <c r="G804" i="120" s="1"/>
  <c r="G298" i="120"/>
  <c r="G297" i="120" s="1"/>
  <c r="G296" i="120" s="1"/>
  <c r="F210" i="113"/>
  <c r="E122" i="113"/>
  <c r="F183" i="113"/>
  <c r="F146" i="113" s="1"/>
  <c r="I806" i="120"/>
  <c r="I805" i="120" s="1"/>
  <c r="I804" i="120" s="1"/>
  <c r="I795" i="120" s="1"/>
  <c r="I794" i="120" s="1"/>
  <c r="I793" i="120" s="1"/>
  <c r="G285" i="120"/>
  <c r="G284" i="120" s="1"/>
  <c r="G283" i="120" s="1"/>
  <c r="G282" i="120" s="1"/>
  <c r="G268" i="120" s="1"/>
  <c r="D216" i="113"/>
  <c r="G91" i="119"/>
  <c r="G90" i="119" s="1"/>
  <c r="G106" i="119"/>
  <c r="G105" i="119" s="1"/>
  <c r="F766" i="119"/>
  <c r="F765" i="119" s="1"/>
  <c r="I645" i="120"/>
  <c r="I57" i="120"/>
  <c r="F512" i="119"/>
  <c r="F511" i="119" s="1"/>
  <c r="F510" i="119" s="1"/>
  <c r="F509" i="119" s="1"/>
  <c r="I830" i="120"/>
  <c r="H166" i="120"/>
  <c r="I608" i="120"/>
  <c r="G835" i="120"/>
  <c r="G834" i="120" s="1"/>
  <c r="G594" i="120"/>
  <c r="G588" i="120" s="1"/>
  <c r="I98" i="120"/>
  <c r="I177" i="120"/>
  <c r="H305" i="120"/>
  <c r="H313" i="120"/>
  <c r="H312" i="120" s="1"/>
  <c r="H311" i="120" s="1"/>
  <c r="H310" i="120" s="1"/>
  <c r="G415" i="120"/>
  <c r="I415" i="120"/>
  <c r="G429" i="120"/>
  <c r="G451" i="120"/>
  <c r="H589" i="120"/>
  <c r="G733" i="120"/>
  <c r="I768" i="120"/>
  <c r="G305" i="120"/>
  <c r="I305" i="120"/>
  <c r="I203" i="120"/>
  <c r="I202" i="120" s="1"/>
  <c r="I197" i="120" s="1"/>
  <c r="G234" i="120"/>
  <c r="G233" i="120" s="1"/>
  <c r="G232" i="120" s="1"/>
  <c r="G408" i="120"/>
  <c r="H768" i="120"/>
  <c r="I909" i="120"/>
  <c r="G362" i="120"/>
  <c r="G361" i="120" s="1"/>
  <c r="H408" i="120"/>
  <c r="H451" i="120"/>
  <c r="H969" i="120"/>
  <c r="H965" i="120" s="1"/>
  <c r="H964" i="120" s="1"/>
  <c r="H963" i="120" s="1"/>
  <c r="H234" i="120"/>
  <c r="H233" i="120" s="1"/>
  <c r="H232" i="120" s="1"/>
  <c r="G67" i="120"/>
  <c r="H47" i="120"/>
  <c r="H53" i="120"/>
  <c r="H52" i="120" s="1"/>
  <c r="G69" i="119"/>
  <c r="G96" i="119"/>
  <c r="G95" i="119" s="1"/>
  <c r="H105" i="120"/>
  <c r="H104" i="120" s="1"/>
  <c r="H103" i="120" s="1"/>
  <c r="I903" i="120"/>
  <c r="I902" i="120" s="1"/>
  <c r="I901" i="120" s="1"/>
  <c r="D56" i="113"/>
  <c r="G101" i="119"/>
  <c r="G100" i="119" s="1"/>
  <c r="H403" i="120"/>
  <c r="H647" i="120"/>
  <c r="H646" i="120" s="1"/>
  <c r="H645" i="120" s="1"/>
  <c r="H690" i="119"/>
  <c r="I241" i="120"/>
  <c r="I240" i="120" s="1"/>
  <c r="I758" i="120"/>
  <c r="I482" i="120"/>
  <c r="H96" i="119"/>
  <c r="H95" i="119" s="1"/>
  <c r="G347" i="120"/>
  <c r="G346" i="120" s="1"/>
  <c r="G721" i="120"/>
  <c r="G720" i="120" s="1"/>
  <c r="G647" i="120"/>
  <c r="G646" i="120" s="1"/>
  <c r="G645" i="120" s="1"/>
  <c r="F24" i="119"/>
  <c r="F23" i="119" s="1"/>
  <c r="I501" i="120"/>
  <c r="I500" i="120"/>
  <c r="F56" i="113"/>
  <c r="F663" i="119"/>
  <c r="G766" i="119"/>
  <c r="G765" i="119" s="1"/>
  <c r="F890" i="119"/>
  <c r="G462" i="119"/>
  <c r="I422" i="120"/>
  <c r="H520" i="120"/>
  <c r="H519" i="120" s="1"/>
  <c r="H512" i="120" s="1"/>
  <c r="D183" i="113"/>
  <c r="H354" i="119"/>
  <c r="H353" i="119" s="1"/>
  <c r="H352" i="119" s="1"/>
  <c r="F661" i="119"/>
  <c r="F719" i="119"/>
  <c r="I62" i="120"/>
  <c r="F273" i="119"/>
  <c r="F272" i="119" s="1"/>
  <c r="G909" i="120"/>
  <c r="F331" i="113"/>
  <c r="H415" i="120"/>
  <c r="I429" i="120"/>
  <c r="I629" i="120"/>
  <c r="H909" i="120"/>
  <c r="H362" i="120"/>
  <c r="H361" i="120" s="1"/>
  <c r="H241" i="120"/>
  <c r="H240" i="120" s="1"/>
  <c r="G482" i="120"/>
  <c r="H615" i="120"/>
  <c r="H721" i="120"/>
  <c r="H720" i="120" s="1"/>
  <c r="I782" i="120"/>
  <c r="G241" i="120"/>
  <c r="G240" i="120" s="1"/>
  <c r="I403" i="120"/>
  <c r="D227" i="113"/>
  <c r="E197" i="113"/>
  <c r="F96" i="119"/>
  <c r="F95" i="119" s="1"/>
  <c r="I922" i="120"/>
  <c r="I921" i="120" s="1"/>
  <c r="H255" i="120"/>
  <c r="H254" i="120" s="1"/>
  <c r="F380" i="119"/>
  <c r="F379" i="119" s="1"/>
  <c r="F378" i="119" s="1"/>
  <c r="F371" i="119" s="1"/>
  <c r="F370" i="119" s="1"/>
  <c r="D233" i="113"/>
  <c r="G629" i="120"/>
  <c r="H629" i="120"/>
  <c r="F122" i="113"/>
  <c r="D122" i="113"/>
  <c r="H176" i="119"/>
  <c r="H175" i="119" s="1"/>
  <c r="H174" i="119" s="1"/>
  <c r="H340" i="119"/>
  <c r="F468" i="119"/>
  <c r="F467" i="119" s="1"/>
  <c r="F466" i="119" s="1"/>
  <c r="F462" i="119" s="1"/>
  <c r="F413" i="119"/>
  <c r="F412" i="119" s="1"/>
  <c r="F411" i="119" s="1"/>
  <c r="F410" i="119" s="1"/>
  <c r="F409" i="119" s="1"/>
  <c r="F129" i="119"/>
  <c r="H160" i="119"/>
  <c r="H159" i="119" s="1"/>
  <c r="F969" i="119"/>
  <c r="I969" i="120"/>
  <c r="I965" i="120" s="1"/>
  <c r="I964" i="120" s="1"/>
  <c r="I963" i="120" s="1"/>
  <c r="G93" i="120"/>
  <c r="I761" i="120"/>
  <c r="F49" i="119"/>
  <c r="F48" i="119" s="1"/>
  <c r="F47" i="119" s="1"/>
  <c r="G812" i="120"/>
  <c r="G811" i="120" s="1"/>
  <c r="G810" i="120" s="1"/>
  <c r="G447" i="120"/>
  <c r="G446" i="120" s="1"/>
  <c r="G445" i="120" s="1"/>
  <c r="G444" i="120" s="1"/>
  <c r="G313" i="120"/>
  <c r="G312" i="120" s="1"/>
  <c r="G311" i="120" s="1"/>
  <c r="G310" i="120" s="1"/>
  <c r="G335" i="120"/>
  <c r="G334" i="120" s="1"/>
  <c r="H335" i="120"/>
  <c r="H334" i="120" s="1"/>
  <c r="H347" i="120"/>
  <c r="H346" i="120" s="1"/>
  <c r="I548" i="120"/>
  <c r="H608" i="120"/>
  <c r="I622" i="120"/>
  <c r="G761" i="120"/>
  <c r="G403" i="120"/>
  <c r="H448" i="120"/>
  <c r="H818" i="119"/>
  <c r="H815" i="119" s="1"/>
  <c r="F176" i="119"/>
  <c r="F175" i="119" s="1"/>
  <c r="F174" i="119" s="1"/>
  <c r="G176" i="119"/>
  <c r="G175" i="119" s="1"/>
  <c r="G174" i="119" s="1"/>
  <c r="I812" i="120"/>
  <c r="I811" i="120" s="1"/>
  <c r="I810" i="120" s="1"/>
  <c r="G380" i="119"/>
  <c r="G379" i="119" s="1"/>
  <c r="G378" i="119" s="1"/>
  <c r="G371" i="119" s="1"/>
  <c r="G370" i="119" s="1"/>
  <c r="H413" i="119"/>
  <c r="H412" i="119" s="1"/>
  <c r="H411" i="119" s="1"/>
  <c r="H410" i="119" s="1"/>
  <c r="H409" i="119" s="1"/>
  <c r="G301" i="120"/>
  <c r="G300" i="120" s="1"/>
  <c r="G299" i="120" s="1"/>
  <c r="F366" i="119"/>
  <c r="F365" i="119" s="1"/>
  <c r="F364" i="119" s="1"/>
  <c r="H705" i="119"/>
  <c r="F712" i="119"/>
  <c r="H719" i="119"/>
  <c r="I23" i="120"/>
  <c r="I22" i="120" s="1"/>
  <c r="I21" i="120" s="1"/>
  <c r="I20" i="120" s="1"/>
  <c r="G22" i="120"/>
  <c r="G21" i="120" s="1"/>
  <c r="G20" i="120" s="1"/>
  <c r="I134" i="120"/>
  <c r="I133" i="120" s="1"/>
  <c r="I129" i="120" s="1"/>
  <c r="H177" i="120"/>
  <c r="G390" i="120"/>
  <c r="G422" i="120"/>
  <c r="H599" i="120"/>
  <c r="G870" i="120"/>
  <c r="G869" i="120" s="1"/>
  <c r="I870" i="120"/>
  <c r="I869" i="120" s="1"/>
  <c r="I860" i="120" s="1"/>
  <c r="G914" i="120"/>
  <c r="H812" i="120"/>
  <c r="H811" i="120" s="1"/>
  <c r="H810" i="120" s="1"/>
  <c r="H447" i="120"/>
  <c r="H446" i="120" s="1"/>
  <c r="H445" i="120" s="1"/>
  <c r="H444" i="120" s="1"/>
  <c r="I589" i="120"/>
  <c r="I599" i="120"/>
  <c r="H733" i="120"/>
  <c r="G296" i="119"/>
  <c r="G295" i="119" s="1"/>
  <c r="G294" i="119" s="1"/>
  <c r="H296" i="119"/>
  <c r="H295" i="119" s="1"/>
  <c r="H294" i="119" s="1"/>
  <c r="G705" i="119"/>
  <c r="G790" i="119"/>
  <c r="G789" i="119" s="1"/>
  <c r="G924" i="119"/>
  <c r="F870" i="119"/>
  <c r="H608" i="119"/>
  <c r="H863" i="120"/>
  <c r="H862" i="120" s="1"/>
  <c r="H861" i="120" s="1"/>
  <c r="G863" i="120"/>
  <c r="G862" i="120" s="1"/>
  <c r="G861" i="120" s="1"/>
  <c r="H303" i="120"/>
  <c r="H302" i="120" s="1"/>
  <c r="G234" i="119"/>
  <c r="G233" i="119" s="1"/>
  <c r="G232" i="119" s="1"/>
  <c r="H996" i="120"/>
  <c r="H28" i="119"/>
  <c r="G53" i="119"/>
  <c r="F689" i="119"/>
  <c r="F688" i="119" s="1"/>
  <c r="F687" i="119" s="1"/>
  <c r="G260" i="119"/>
  <c r="G259" i="119" s="1"/>
  <c r="G252" i="119" s="1"/>
  <c r="G251" i="119" s="1"/>
  <c r="H208" i="120"/>
  <c r="H207" i="120" s="1"/>
  <c r="H203" i="120" s="1"/>
  <c r="H202" i="120" s="1"/>
  <c r="H197" i="120" s="1"/>
  <c r="J286" i="120"/>
  <c r="H689" i="119"/>
  <c r="H688" i="119" s="1"/>
  <c r="H687" i="119" s="1"/>
  <c r="I447" i="120"/>
  <c r="I446" i="120" s="1"/>
  <c r="I445" i="120" s="1"/>
  <c r="I444" i="120" s="1"/>
  <c r="H56" i="119"/>
  <c r="H101" i="119"/>
  <c r="H100" i="119" s="1"/>
  <c r="H110" i="119"/>
  <c r="G155" i="119"/>
  <c r="G154" i="119" s="1"/>
  <c r="G153" i="119" s="1"/>
  <c r="F235" i="119"/>
  <c r="H462" i="119"/>
  <c r="F638" i="119"/>
  <c r="H803" i="119"/>
  <c r="H802" i="119" s="1"/>
  <c r="F818" i="119"/>
  <c r="F815" i="119" s="1"/>
  <c r="G689" i="119"/>
  <c r="G688" i="119" s="1"/>
  <c r="G687" i="119" s="1"/>
  <c r="H764" i="119"/>
  <c r="H763" i="119" s="1"/>
  <c r="H762" i="119" s="1"/>
  <c r="G166" i="120"/>
  <c r="E56" i="113"/>
  <c r="F71" i="119"/>
  <c r="G995" i="120"/>
  <c r="G994" i="120" s="1"/>
  <c r="G993" i="120" s="1"/>
  <c r="G986" i="120" s="1"/>
  <c r="G985" i="120" s="1"/>
  <c r="G984" i="120" s="1"/>
  <c r="G983" i="120" s="1"/>
  <c r="H931" i="119"/>
  <c r="F37" i="119"/>
  <c r="F155" i="119"/>
  <c r="F154" i="119" s="1"/>
  <c r="F153" i="119" s="1"/>
  <c r="G160" i="119"/>
  <c r="G159" i="119" s="1"/>
  <c r="H221" i="119"/>
  <c r="F541" i="119"/>
  <c r="F244" i="113"/>
  <c r="D197" i="113"/>
  <c r="F90" i="113"/>
  <c r="F358" i="119"/>
  <c r="F357" i="119" s="1"/>
  <c r="F356" i="119" s="1"/>
  <c r="H380" i="119"/>
  <c r="H379" i="119" s="1"/>
  <c r="H378" i="119" s="1"/>
  <c r="H371" i="119" s="1"/>
  <c r="H370" i="119" s="1"/>
  <c r="F340" i="119"/>
  <c r="G340" i="119"/>
  <c r="G339" i="119" s="1"/>
  <c r="G338" i="119" s="1"/>
  <c r="G337" i="119" s="1"/>
  <c r="H252" i="120"/>
  <c r="H251" i="120" s="1"/>
  <c r="G306" i="119"/>
  <c r="G305" i="119" s="1"/>
  <c r="G304" i="119" s="1"/>
  <c r="H54" i="119"/>
  <c r="G63" i="119"/>
  <c r="G62" i="119" s="1"/>
  <c r="G130" i="119"/>
  <c r="G129" i="119" s="1"/>
  <c r="H185" i="119"/>
  <c r="H184" i="119" s="1"/>
  <c r="H180" i="119" s="1"/>
  <c r="F221" i="119"/>
  <c r="G373" i="119"/>
  <c r="G372" i="119" s="1"/>
  <c r="H373" i="119"/>
  <c r="H372" i="119" s="1"/>
  <c r="H541" i="119"/>
  <c r="F608" i="119"/>
  <c r="F652" i="119"/>
  <c r="F651" i="119" s="1"/>
  <c r="H680" i="119"/>
  <c r="F790" i="119"/>
  <c r="F789" i="119" s="1"/>
  <c r="H828" i="119"/>
  <c r="H890" i="119"/>
  <c r="F924" i="119"/>
  <c r="I399" i="120"/>
  <c r="I398" i="120" s="1"/>
  <c r="I395" i="120" s="1"/>
  <c r="I389" i="120" s="1"/>
  <c r="I388" i="120" s="1"/>
  <c r="I376" i="120" s="1"/>
  <c r="H663" i="119"/>
  <c r="H660" i="119" s="1"/>
  <c r="H93" i="120"/>
  <c r="G782" i="120"/>
  <c r="F430" i="119"/>
  <c r="F429" i="119" s="1"/>
  <c r="G752" i="120"/>
  <c r="G751" i="120" s="1"/>
  <c r="H395" i="120"/>
  <c r="H62" i="120"/>
  <c r="G396" i="119"/>
  <c r="G395" i="119" s="1"/>
  <c r="G616" i="119"/>
  <c r="H673" i="119"/>
  <c r="H870" i="120"/>
  <c r="H869" i="120" s="1"/>
  <c r="I255" i="120"/>
  <c r="I254" i="120" s="1"/>
  <c r="I250" i="120" s="1"/>
  <c r="I249" i="120" s="1"/>
  <c r="H311" i="119"/>
  <c r="H310" i="119" s="1"/>
  <c r="H309" i="119" s="1"/>
  <c r="G758" i="120"/>
  <c r="G759" i="120"/>
  <c r="G693" i="119"/>
  <c r="G712" i="119"/>
  <c r="H67" i="120"/>
  <c r="F359" i="119"/>
  <c r="G690" i="119"/>
  <c r="I234" i="120"/>
  <c r="I233" i="120" s="1"/>
  <c r="I232" i="120" s="1"/>
  <c r="G922" i="120"/>
  <c r="G921" i="120" s="1"/>
  <c r="G930" i="120"/>
  <c r="I93" i="120"/>
  <c r="I303" i="120"/>
  <c r="I302" i="120" s="1"/>
  <c r="H260" i="119"/>
  <c r="H259" i="119" s="1"/>
  <c r="H252" i="119" s="1"/>
  <c r="H251" i="119" s="1"/>
  <c r="H250" i="119" s="1"/>
  <c r="G23" i="119"/>
  <c r="G520" i="120"/>
  <c r="G519" i="120" s="1"/>
  <c r="G512" i="120" s="1"/>
  <c r="H922" i="120"/>
  <c r="H921" i="120" s="1"/>
  <c r="I520" i="120"/>
  <c r="I519" i="120" s="1"/>
  <c r="I512" i="120" s="1"/>
  <c r="I347" i="120"/>
  <c r="I346" i="120" s="1"/>
  <c r="I448" i="120"/>
  <c r="H482" i="120"/>
  <c r="J546" i="120"/>
  <c r="G615" i="120"/>
  <c r="I615" i="120"/>
  <c r="G709" i="120"/>
  <c r="I721" i="120"/>
  <c r="I720" i="120" s="1"/>
  <c r="H782" i="120"/>
  <c r="H930" i="120"/>
  <c r="H761" i="120"/>
  <c r="G57" i="120"/>
  <c r="I536" i="120"/>
  <c r="I535" i="120" s="1"/>
  <c r="I534" i="120" s="1"/>
  <c r="H821" i="119"/>
  <c r="H820" i="119" s="1"/>
  <c r="H892" i="120"/>
  <c r="H891" i="120" s="1"/>
  <c r="H890" i="120" s="1"/>
  <c r="H882" i="120" s="1"/>
  <c r="G535" i="120"/>
  <c r="G534" i="120" s="1"/>
  <c r="F821" i="119"/>
  <c r="F820" i="119" s="1"/>
  <c r="H536" i="120"/>
  <c r="H535" i="120" s="1"/>
  <c r="H534" i="120" s="1"/>
  <c r="G821" i="119"/>
  <c r="G820" i="119" s="1"/>
  <c r="H396" i="119"/>
  <c r="H395" i="119" s="1"/>
  <c r="G216" i="120"/>
  <c r="D90" i="113"/>
  <c r="H82" i="120"/>
  <c r="H81" i="120" s="1"/>
  <c r="H80" i="120" s="1"/>
  <c r="I914" i="120"/>
  <c r="H244" i="119"/>
  <c r="H243" i="119" s="1"/>
  <c r="H242" i="119" s="1"/>
  <c r="H241" i="119" s="1"/>
  <c r="F257" i="119"/>
  <c r="F256" i="119" s="1"/>
  <c r="H365" i="119"/>
  <c r="H364" i="119" s="1"/>
  <c r="F368" i="119"/>
  <c r="F367" i="119" s="1"/>
  <c r="F233" i="113"/>
  <c r="H487" i="119"/>
  <c r="H486" i="119" s="1"/>
  <c r="H485" i="119" s="1"/>
  <c r="G487" i="119"/>
  <c r="G486" i="119" s="1"/>
  <c r="G485" i="119" s="1"/>
  <c r="H49" i="119"/>
  <c r="H48" i="119" s="1"/>
  <c r="H47" i="119" s="1"/>
  <c r="G49" i="119"/>
  <c r="G48" i="119" s="1"/>
  <c r="G47" i="119" s="1"/>
  <c r="E233" i="113"/>
  <c r="F673" i="119"/>
  <c r="G208" i="120"/>
  <c r="G207" i="120" s="1"/>
  <c r="G203" i="120" s="1"/>
  <c r="G202" i="120" s="1"/>
  <c r="G255" i="120"/>
  <c r="G254" i="120" s="1"/>
  <c r="G250" i="120" s="1"/>
  <c r="G249" i="120" s="1"/>
  <c r="F244" i="119"/>
  <c r="F243" i="119" s="1"/>
  <c r="F242" i="119" s="1"/>
  <c r="F241" i="119" s="1"/>
  <c r="G244" i="119"/>
  <c r="G243" i="119" s="1"/>
  <c r="G242" i="119" s="1"/>
  <c r="G241" i="119" s="1"/>
  <c r="H306" i="119"/>
  <c r="G365" i="119"/>
  <c r="G364" i="119" s="1"/>
  <c r="H903" i="119"/>
  <c r="G870" i="119"/>
  <c r="H535" i="119"/>
  <c r="H534" i="119" s="1"/>
  <c r="G272" i="119"/>
  <c r="F324" i="119"/>
  <c r="I543" i="120"/>
  <c r="H272" i="119"/>
  <c r="H234" i="119"/>
  <c r="H233" i="119" s="1"/>
  <c r="H232" i="119" s="1"/>
  <c r="G951" i="119"/>
  <c r="I47" i="120"/>
  <c r="F535" i="119"/>
  <c r="F534" i="119" s="1"/>
  <c r="G535" i="119"/>
  <c r="G534" i="119" s="1"/>
  <c r="G633" i="119"/>
  <c r="G632" i="119" s="1"/>
  <c r="G673" i="119"/>
  <c r="F289" i="119"/>
  <c r="F288" i="119" s="1"/>
  <c r="F287" i="119" s="1"/>
  <c r="H624" i="119"/>
  <c r="G741" i="119"/>
  <c r="G730" i="119" s="1"/>
  <c r="G729" i="119" s="1"/>
  <c r="J56" i="120"/>
  <c r="G324" i="119"/>
  <c r="F741" i="119"/>
  <c r="F730" i="119" s="1"/>
  <c r="F729" i="119" s="1"/>
  <c r="H951" i="119"/>
  <c r="I663" i="120"/>
  <c r="I662" i="120" s="1"/>
  <c r="I661" i="120" s="1"/>
  <c r="I82" i="120"/>
  <c r="I81" i="120" s="1"/>
  <c r="I80" i="120" s="1"/>
  <c r="I955" i="120"/>
  <c r="I954" i="120" s="1"/>
  <c r="I950" i="120" s="1"/>
  <c r="I949" i="120" s="1"/>
  <c r="G680" i="119"/>
  <c r="G38" i="119"/>
  <c r="G37" i="119" s="1"/>
  <c r="G36" i="119" s="1"/>
  <c r="G35" i="119" s="1"/>
  <c r="H38" i="119"/>
  <c r="H37" i="119" s="1"/>
  <c r="H36" i="119" s="1"/>
  <c r="H35" i="119" s="1"/>
  <c r="F62" i="119"/>
  <c r="F105" i="119"/>
  <c r="H105" i="119"/>
  <c r="F142" i="119"/>
  <c r="H142" i="119"/>
  <c r="F296" i="119"/>
  <c r="F295" i="119" s="1"/>
  <c r="F294" i="119" s="1"/>
  <c r="G541" i="119"/>
  <c r="F693" i="119"/>
  <c r="H712" i="119"/>
  <c r="F101" i="119"/>
  <c r="F100" i="119" s="1"/>
  <c r="G638" i="119"/>
  <c r="H939" i="119"/>
  <c r="H938" i="119" s="1"/>
  <c r="F910" i="119"/>
  <c r="H924" i="119"/>
  <c r="G939" i="119"/>
  <c r="G938" i="119" s="1"/>
  <c r="H955" i="120"/>
  <c r="H954" i="120" s="1"/>
  <c r="H950" i="120" s="1"/>
  <c r="H949" i="120" s="1"/>
  <c r="H944" i="120" s="1"/>
  <c r="G608" i="119"/>
  <c r="H62" i="119"/>
  <c r="G843" i="119"/>
  <c r="F843" i="119"/>
  <c r="G28" i="119"/>
  <c r="F28" i="119"/>
  <c r="F160" i="119"/>
  <c r="F159" i="119" s="1"/>
  <c r="F185" i="119"/>
  <c r="F184" i="119" s="1"/>
  <c r="F180" i="119" s="1"/>
  <c r="G221" i="119"/>
  <c r="H359" i="119"/>
  <c r="F616" i="119"/>
  <c r="H652" i="119"/>
  <c r="H651" i="119" s="1"/>
  <c r="F680" i="119"/>
  <c r="G828" i="119"/>
  <c r="F903" i="119"/>
  <c r="G903" i="119"/>
  <c r="G910" i="119"/>
  <c r="G931" i="119"/>
  <c r="G359" i="119"/>
  <c r="I105" i="120"/>
  <c r="I104" i="120" s="1"/>
  <c r="I103" i="120" s="1"/>
  <c r="G545" i="120"/>
  <c r="G542" i="120" s="1"/>
  <c r="H545" i="120"/>
  <c r="H542" i="120" s="1"/>
  <c r="G289" i="119"/>
  <c r="G288" i="119" s="1"/>
  <c r="G287" i="119" s="1"/>
  <c r="F396" i="119"/>
  <c r="F395" i="119" s="1"/>
  <c r="F394" i="119" s="1"/>
  <c r="F624" i="119"/>
  <c r="F633" i="119"/>
  <c r="F632" i="119" s="1"/>
  <c r="I545" i="120"/>
  <c r="H633" i="119"/>
  <c r="H632" i="119" s="1"/>
  <c r="G47" i="120"/>
  <c r="I67" i="120"/>
  <c r="G82" i="120"/>
  <c r="G81" i="120" s="1"/>
  <c r="G80" i="120" s="1"/>
  <c r="G395" i="120"/>
  <c r="H650" i="120"/>
  <c r="I650" i="120"/>
  <c r="H663" i="120"/>
  <c r="H662" i="120" s="1"/>
  <c r="H661" i="120" s="1"/>
  <c r="I986" i="120"/>
  <c r="I985" i="120" s="1"/>
  <c r="I984" i="120" s="1"/>
  <c r="I983" i="120" s="1"/>
  <c r="H986" i="120"/>
  <c r="H985" i="120" s="1"/>
  <c r="H984" i="120" s="1"/>
  <c r="H983" i="120" s="1"/>
  <c r="G105" i="120"/>
  <c r="G104" i="120" s="1"/>
  <c r="G103" i="120" s="1"/>
  <c r="H117" i="119"/>
  <c r="H116" i="119"/>
  <c r="G116" i="119"/>
  <c r="F116" i="119"/>
  <c r="H741" i="119"/>
  <c r="H730" i="119" s="1"/>
  <c r="F931" i="119"/>
  <c r="F939" i="119"/>
  <c r="F938" i="119" s="1"/>
  <c r="H480" i="119"/>
  <c r="H479" i="119" s="1"/>
  <c r="H289" i="119"/>
  <c r="H288" i="119" s="1"/>
  <c r="H287" i="119" s="1"/>
  <c r="H324" i="119"/>
  <c r="G652" i="119"/>
  <c r="G651" i="119" s="1"/>
  <c r="H910" i="119"/>
  <c r="H790" i="119"/>
  <c r="H789" i="119" s="1"/>
  <c r="G142" i="119"/>
  <c r="H616" i="119"/>
  <c r="I892" i="120"/>
  <c r="I891" i="120" s="1"/>
  <c r="I890" i="120" s="1"/>
  <c r="I882" i="120" s="1"/>
  <c r="H605" i="119"/>
  <c r="H602" i="119" s="1"/>
  <c r="H601" i="119" s="1"/>
  <c r="H712" i="120"/>
  <c r="H711" i="120" s="1"/>
  <c r="G971" i="119"/>
  <c r="G970" i="119" s="1"/>
  <c r="G969" i="119" s="1"/>
  <c r="G556" i="120"/>
  <c r="G555" i="120" s="1"/>
  <c r="G554" i="120" s="1"/>
  <c r="G553" i="120" s="1"/>
  <c r="F842" i="119"/>
  <c r="F841" i="119" s="1"/>
  <c r="F840" i="119" s="1"/>
  <c r="F839" i="119" s="1"/>
  <c r="I438" i="120"/>
  <c r="I437" i="120" s="1"/>
  <c r="I436" i="120" s="1"/>
  <c r="H702" i="119"/>
  <c r="H701" i="119" s="1"/>
  <c r="H700" i="119" s="1"/>
  <c r="G702" i="119"/>
  <c r="G701" i="119" s="1"/>
  <c r="G700" i="119" s="1"/>
  <c r="H438" i="120"/>
  <c r="H437" i="120" s="1"/>
  <c r="H436" i="120" s="1"/>
  <c r="H732" i="120"/>
  <c r="H731" i="120" s="1"/>
  <c r="H730" i="120" s="1"/>
  <c r="G413" i="119"/>
  <c r="G412" i="119" s="1"/>
  <c r="G411" i="119" s="1"/>
  <c r="G410" i="119" s="1"/>
  <c r="G409" i="119" s="1"/>
  <c r="I948" i="120"/>
  <c r="I947" i="120" s="1"/>
  <c r="I946" i="120" s="1"/>
  <c r="I945" i="120" s="1"/>
  <c r="H785" i="119"/>
  <c r="H784" i="119" s="1"/>
  <c r="H783" i="119" s="1"/>
  <c r="J53" i="120"/>
  <c r="G53" i="120"/>
  <c r="G52" i="120" s="1"/>
  <c r="G38" i="120"/>
  <c r="G37" i="120" s="1"/>
  <c r="G36" i="120" s="1"/>
  <c r="I712" i="120"/>
  <c r="I711" i="120" s="1"/>
  <c r="H971" i="119"/>
  <c r="H970" i="119" s="1"/>
  <c r="H969" i="119" s="1"/>
  <c r="G697" i="120"/>
  <c r="G696" i="120" s="1"/>
  <c r="G695" i="120" s="1"/>
  <c r="G694" i="120" s="1"/>
  <c r="F956" i="119"/>
  <c r="F955" i="119" s="1"/>
  <c r="F954" i="119" s="1"/>
  <c r="F953" i="119" s="1"/>
  <c r="F952" i="119" s="1"/>
  <c r="F951" i="119" s="1"/>
  <c r="H842" i="119"/>
  <c r="H841" i="119" s="1"/>
  <c r="H840" i="119" s="1"/>
  <c r="H839" i="119" s="1"/>
  <c r="I556" i="120"/>
  <c r="I555" i="120" s="1"/>
  <c r="I554" i="120" s="1"/>
  <c r="I553" i="120" s="1"/>
  <c r="H556" i="120"/>
  <c r="H555" i="120" s="1"/>
  <c r="H554" i="120" s="1"/>
  <c r="H553" i="120" s="1"/>
  <c r="G842" i="119"/>
  <c r="G841" i="119" s="1"/>
  <c r="G840" i="119" s="1"/>
  <c r="G839" i="119" s="1"/>
  <c r="G438" i="120"/>
  <c r="G437" i="120" s="1"/>
  <c r="G436" i="120" s="1"/>
  <c r="F702" i="119"/>
  <c r="F701" i="119" s="1"/>
  <c r="F700" i="119" s="1"/>
  <c r="G449" i="120"/>
  <c r="G448" i="120" s="1"/>
  <c r="F691" i="119"/>
  <c r="F690" i="119" s="1"/>
  <c r="H58" i="120"/>
  <c r="H57" i="120" s="1"/>
  <c r="I53" i="120"/>
  <c r="I52" i="120" s="1"/>
  <c r="G605" i="119"/>
  <c r="G602" i="119" s="1"/>
  <c r="G601" i="119" s="1"/>
  <c r="F479" i="119"/>
  <c r="G480" i="119"/>
  <c r="G479" i="119" s="1"/>
  <c r="F483" i="119"/>
  <c r="F482" i="119" s="1"/>
  <c r="H483" i="119"/>
  <c r="H482" i="119" s="1"/>
  <c r="G483" i="119"/>
  <c r="G482" i="119" s="1"/>
  <c r="F490" i="119"/>
  <c r="F489" i="119" s="1"/>
  <c r="F488" i="119" s="1"/>
  <c r="H490" i="119"/>
  <c r="H489" i="119" s="1"/>
  <c r="H488" i="119" s="1"/>
  <c r="G490" i="119"/>
  <c r="G489" i="119" s="1"/>
  <c r="G488" i="119" s="1"/>
  <c r="F493" i="119"/>
  <c r="F492" i="119" s="1"/>
  <c r="F491" i="119" s="1"/>
  <c r="H492" i="119"/>
  <c r="H491" i="119" s="1"/>
  <c r="G492" i="119"/>
  <c r="G491" i="119" s="1"/>
  <c r="D244" i="113"/>
  <c r="E155" i="113"/>
  <c r="F197" i="113"/>
  <c r="F785" i="119"/>
  <c r="F784" i="119" s="1"/>
  <c r="F783" i="119" s="1"/>
  <c r="G785" i="119"/>
  <c r="G784" i="119" s="1"/>
  <c r="G783" i="119" s="1"/>
  <c r="G465" i="120" l="1"/>
  <c r="G464" i="120" s="1"/>
  <c r="F355" i="119"/>
  <c r="F478" i="119"/>
  <c r="F477" i="119" s="1"/>
  <c r="F476" i="119" s="1"/>
  <c r="D12" i="113"/>
  <c r="G795" i="120"/>
  <c r="G794" i="120" s="1"/>
  <c r="G793" i="120" s="1"/>
  <c r="I588" i="120"/>
  <c r="I584" i="120" s="1"/>
  <c r="I583" i="120" s="1"/>
  <c r="I582" i="120" s="1"/>
  <c r="H588" i="120"/>
  <c r="F339" i="119"/>
  <c r="F338" i="119" s="1"/>
  <c r="F337" i="119" s="1"/>
  <c r="F323" i="119" s="1"/>
  <c r="F322" i="119" s="1"/>
  <c r="H829" i="120"/>
  <c r="H389" i="120"/>
  <c r="H388" i="120" s="1"/>
  <c r="H376" i="120" s="1"/>
  <c r="H53" i="119"/>
  <c r="H52" i="119" s="1"/>
  <c r="H51" i="119" s="1"/>
  <c r="H50" i="119" s="1"/>
  <c r="G389" i="120"/>
  <c r="G388" i="120" s="1"/>
  <c r="G376" i="120" s="1"/>
  <c r="F425" i="119"/>
  <c r="F424" i="119" s="1"/>
  <c r="G625" i="119"/>
  <c r="G624" i="119" s="1"/>
  <c r="F12" i="113"/>
  <c r="F259" i="113" s="1"/>
  <c r="H915" i="120"/>
  <c r="H914" i="120" s="1"/>
  <c r="E12" i="113"/>
  <c r="H478" i="119"/>
  <c r="G478" i="119"/>
  <c r="G424" i="119"/>
  <c r="H424" i="119"/>
  <c r="I719" i="120"/>
  <c r="H860" i="120"/>
  <c r="I465" i="120"/>
  <c r="I464" i="120" s="1"/>
  <c r="H465" i="120"/>
  <c r="H464" i="120" s="1"/>
  <c r="F152" i="119"/>
  <c r="F89" i="119" s="1"/>
  <c r="G828" i="120"/>
  <c r="G827" i="120" s="1"/>
  <c r="H295" i="120"/>
  <c r="H267" i="120" s="1"/>
  <c r="H747" i="120"/>
  <c r="F950" i="119"/>
  <c r="H650" i="119"/>
  <c r="G747" i="120"/>
  <c r="I747" i="120"/>
  <c r="G782" i="119"/>
  <c r="H644" i="120"/>
  <c r="H643" i="120" s="1"/>
  <c r="H642" i="120" s="1"/>
  <c r="H641" i="120" s="1"/>
  <c r="H869" i="119"/>
  <c r="H868" i="119" s="1"/>
  <c r="H867" i="119" s="1"/>
  <c r="H215" i="120"/>
  <c r="G692" i="120"/>
  <c r="G660" i="120" s="1"/>
  <c r="I295" i="120"/>
  <c r="I267" i="120" s="1"/>
  <c r="G719" i="120"/>
  <c r="J721" i="120" s="1"/>
  <c r="I345" i="120"/>
  <c r="I333" i="120" s="1"/>
  <c r="H719" i="120"/>
  <c r="G860" i="120"/>
  <c r="F814" i="119"/>
  <c r="E146" i="113"/>
  <c r="H798" i="119"/>
  <c r="G215" i="120"/>
  <c r="G345" i="120"/>
  <c r="G798" i="119"/>
  <c r="I542" i="120"/>
  <c r="I644" i="120"/>
  <c r="I643" i="120" s="1"/>
  <c r="I642" i="120" s="1"/>
  <c r="I641" i="120" s="1"/>
  <c r="F660" i="119"/>
  <c r="G893" i="120"/>
  <c r="G892" i="120" s="1"/>
  <c r="G891" i="120" s="1"/>
  <c r="G890" i="120" s="1"/>
  <c r="G882" i="120" s="1"/>
  <c r="G239" i="120"/>
  <c r="I239" i="120"/>
  <c r="F271" i="119"/>
  <c r="G128" i="119"/>
  <c r="G127" i="119" s="1"/>
  <c r="H782" i="119"/>
  <c r="G52" i="119"/>
  <c r="G51" i="119" s="1"/>
  <c r="G50" i="119" s="1"/>
  <c r="G250" i="119"/>
  <c r="F605" i="119"/>
  <c r="F602" i="119" s="1"/>
  <c r="F601" i="119" s="1"/>
  <c r="I532" i="120"/>
  <c r="I529" i="120" s="1"/>
  <c r="D146" i="113"/>
  <c r="F252" i="119"/>
  <c r="F251" i="119" s="1"/>
  <c r="F250" i="119" s="1"/>
  <c r="F332" i="113"/>
  <c r="H976" i="119"/>
  <c r="I996" i="120"/>
  <c r="I900" i="120"/>
  <c r="I899" i="120" s="1"/>
  <c r="I881" i="120" s="1"/>
  <c r="G584" i="120"/>
  <c r="G583" i="120" s="1"/>
  <c r="G582" i="120" s="1"/>
  <c r="H900" i="120"/>
  <c r="H899" i="120" s="1"/>
  <c r="I829" i="120"/>
  <c r="I828" i="120"/>
  <c r="I827" i="120" s="1"/>
  <c r="H345" i="120"/>
  <c r="H584" i="120"/>
  <c r="H583" i="120" s="1"/>
  <c r="H582" i="120" s="1"/>
  <c r="G295" i="120"/>
  <c r="G267" i="120" s="1"/>
  <c r="H250" i="120"/>
  <c r="H249" i="120" s="1"/>
  <c r="H239" i="120" s="1"/>
  <c r="H402" i="120"/>
  <c r="H401" i="120" s="1"/>
  <c r="G644" i="120"/>
  <c r="G643" i="120" s="1"/>
  <c r="G642" i="120" s="1"/>
  <c r="G197" i="120"/>
  <c r="F782" i="119"/>
  <c r="H607" i="119"/>
  <c r="H593" i="119" s="1"/>
  <c r="G650" i="119"/>
  <c r="H152" i="119"/>
  <c r="H89" i="119" s="1"/>
  <c r="H22" i="119"/>
  <c r="H21" i="119" s="1"/>
  <c r="H20" i="119" s="1"/>
  <c r="H533" i="119"/>
  <c r="H508" i="119" s="1"/>
  <c r="F36" i="119"/>
  <c r="F35" i="119" s="1"/>
  <c r="F22" i="119"/>
  <c r="F21" i="119" s="1"/>
  <c r="F20" i="119" s="1"/>
  <c r="H305" i="119"/>
  <c r="H304" i="119" s="1"/>
  <c r="H394" i="119"/>
  <c r="F607" i="119"/>
  <c r="H950" i="119"/>
  <c r="H729" i="119"/>
  <c r="G22" i="119"/>
  <c r="G21" i="119" s="1"/>
  <c r="G20" i="119" s="1"/>
  <c r="G607" i="119"/>
  <c r="G593" i="119" s="1"/>
  <c r="G976" i="119"/>
  <c r="G271" i="119"/>
  <c r="G672" i="119"/>
  <c r="G671" i="119" s="1"/>
  <c r="G670" i="119" s="1"/>
  <c r="F128" i="119"/>
  <c r="F127" i="119" s="1"/>
  <c r="I402" i="120"/>
  <c r="I401" i="120" s="1"/>
  <c r="H672" i="119"/>
  <c r="H671" i="119" s="1"/>
  <c r="H128" i="119"/>
  <c r="H127" i="119" s="1"/>
  <c r="H339" i="119"/>
  <c r="H338" i="119" s="1"/>
  <c r="H337" i="119" s="1"/>
  <c r="H323" i="119" s="1"/>
  <c r="G323" i="119"/>
  <c r="I215" i="120"/>
  <c r="H814" i="119"/>
  <c r="F869" i="119"/>
  <c r="F868" i="119" s="1"/>
  <c r="F867" i="119" s="1"/>
  <c r="G152" i="119"/>
  <c r="H355" i="119"/>
  <c r="G355" i="119"/>
  <c r="F533" i="119"/>
  <c r="F508" i="119" s="1"/>
  <c r="F69" i="119"/>
  <c r="F70" i="119"/>
  <c r="G402" i="120"/>
  <c r="G401" i="120" s="1"/>
  <c r="G400" i="120" s="1"/>
  <c r="J401" i="120" s="1"/>
  <c r="F672" i="119"/>
  <c r="F671" i="119" s="1"/>
  <c r="F670" i="119" s="1"/>
  <c r="G394" i="119"/>
  <c r="H532" i="120"/>
  <c r="H529" i="120" s="1"/>
  <c r="G818" i="119"/>
  <c r="G815" i="119" s="1"/>
  <c r="G814" i="119" s="1"/>
  <c r="G950" i="119"/>
  <c r="G869" i="119"/>
  <c r="G868" i="119" s="1"/>
  <c r="G867" i="119" s="1"/>
  <c r="H271" i="119"/>
  <c r="G533" i="119"/>
  <c r="G508" i="119" s="1"/>
  <c r="I944" i="120"/>
  <c r="G902" i="120"/>
  <c r="J58" i="120"/>
  <c r="G46" i="120"/>
  <c r="G45" i="120" s="1"/>
  <c r="G13" i="120" s="1"/>
  <c r="I46" i="120"/>
  <c r="I45" i="120" s="1"/>
  <c r="I13" i="120" s="1"/>
  <c r="H46" i="120"/>
  <c r="H45" i="120" s="1"/>
  <c r="H13" i="120" s="1"/>
  <c r="I710" i="120"/>
  <c r="I709" i="120" s="1"/>
  <c r="I692" i="120"/>
  <c r="I660" i="120" s="1"/>
  <c r="H710" i="120"/>
  <c r="H709" i="120" s="1"/>
  <c r="H692" i="120"/>
  <c r="H660" i="120" s="1"/>
  <c r="H592" i="119" l="1"/>
  <c r="H423" i="119"/>
  <c r="H393" i="119" s="1"/>
  <c r="G185" i="120"/>
  <c r="I185" i="120"/>
  <c r="F240" i="119"/>
  <c r="F423" i="119"/>
  <c r="G423" i="119"/>
  <c r="F52" i="119"/>
  <c r="F51" i="119" s="1"/>
  <c r="F50" i="119" s="1"/>
  <c r="D259" i="113"/>
  <c r="D333" i="113" s="1"/>
  <c r="D335" i="113" s="1"/>
  <c r="H185" i="120"/>
  <c r="H797" i="119"/>
  <c r="H776" i="119" s="1"/>
  <c r="H333" i="120"/>
  <c r="G901" i="120"/>
  <c r="G900" i="120" s="1"/>
  <c r="G899" i="120" s="1"/>
  <c r="G881" i="120" s="1"/>
  <c r="J890" i="120" s="1"/>
  <c r="J882" i="120" s="1"/>
  <c r="G333" i="120"/>
  <c r="H881" i="120"/>
  <c r="J829" i="120"/>
  <c r="H400" i="120"/>
  <c r="I746" i="120"/>
  <c r="I745" i="120" s="1"/>
  <c r="H746" i="120"/>
  <c r="H745" i="120" s="1"/>
  <c r="G746" i="120"/>
  <c r="G745" i="120" s="1"/>
  <c r="H477" i="119"/>
  <c r="H476" i="119" s="1"/>
  <c r="E259" i="113"/>
  <c r="E333" i="113" s="1"/>
  <c r="G797" i="119"/>
  <c r="G776" i="119" s="1"/>
  <c r="G240" i="119"/>
  <c r="G89" i="119"/>
  <c r="G88" i="119" s="1"/>
  <c r="F650" i="119"/>
  <c r="F593" i="119"/>
  <c r="G592" i="119"/>
  <c r="I528" i="120"/>
  <c r="I400" i="120"/>
  <c r="G641" i="120"/>
  <c r="F88" i="119"/>
  <c r="G322" i="119"/>
  <c r="H88" i="119"/>
  <c r="H13" i="119" s="1"/>
  <c r="H670" i="119"/>
  <c r="H528" i="120"/>
  <c r="H527" i="120" s="1"/>
  <c r="H506" i="120" s="1"/>
  <c r="G528" i="120"/>
  <c r="F333" i="113"/>
  <c r="H322" i="119"/>
  <c r="H240" i="119"/>
  <c r="G477" i="119"/>
  <c r="G476" i="119" s="1"/>
  <c r="F13" i="119" l="1"/>
  <c r="H718" i="120"/>
  <c r="J746" i="120"/>
  <c r="I718" i="120"/>
  <c r="I717" i="120" s="1"/>
  <c r="G13" i="119"/>
  <c r="I527" i="120"/>
  <c r="I506" i="120" s="1"/>
  <c r="I12" i="120" s="1"/>
  <c r="F592" i="119"/>
  <c r="F393" i="119" s="1"/>
  <c r="G393" i="119"/>
  <c r="G527" i="120"/>
  <c r="G506" i="120" s="1"/>
  <c r="G12" i="120" s="1"/>
  <c r="H12" i="120"/>
  <c r="G718" i="120"/>
  <c r="H977" i="119"/>
  <c r="H717" i="120" l="1"/>
  <c r="I997" i="120"/>
  <c r="G977" i="119"/>
  <c r="J13" i="120"/>
  <c r="H997" i="120" l="1"/>
  <c r="G955" i="120" l="1"/>
  <c r="G954" i="120" s="1"/>
  <c r="G950" i="120" s="1"/>
  <c r="G949" i="120" s="1"/>
  <c r="G944" i="120" s="1"/>
  <c r="F802" i="119"/>
  <c r="F798" i="119" s="1"/>
  <c r="F797" i="119" s="1"/>
  <c r="F776" i="119" s="1"/>
  <c r="F977" i="119" s="1"/>
  <c r="F979" i="119" s="1"/>
  <c r="G717" i="120" l="1"/>
  <c r="G997" i="120" s="1"/>
  <c r="G999" i="120" s="1"/>
  <c r="J945" i="120"/>
  <c r="J719" i="120" l="1"/>
</calcChain>
</file>

<file path=xl/sharedStrings.xml><?xml version="1.0" encoding="utf-8"?>
<sst xmlns="http://schemas.openxmlformats.org/spreadsheetml/2006/main" count="11331" uniqueCount="1156">
  <si>
    <t>01 05 0201 05 0000 510</t>
  </si>
  <si>
    <t>Увеличение прочих остатков денежных средств районного бюджета</t>
  </si>
  <si>
    <t>01 05 0201 05 0000 610</t>
  </si>
  <si>
    <t>Уменьшение прочих остатков денежных средств районного бюджета</t>
  </si>
  <si>
    <t>1 11 05013 05 0000 120</t>
  </si>
  <si>
    <t>9900000000</t>
  </si>
  <si>
    <t>9990000000</t>
  </si>
  <si>
    <t>9990010010</t>
  </si>
  <si>
    <t>9990010020</t>
  </si>
  <si>
    <t>9990010030</t>
  </si>
  <si>
    <t>9990010040</t>
  </si>
  <si>
    <t>9990093100</t>
  </si>
  <si>
    <t>9990010050</t>
  </si>
  <si>
    <t>9990010060</t>
  </si>
  <si>
    <t>9990010070</t>
  </si>
  <si>
    <t>9990010080</t>
  </si>
  <si>
    <t>9990010090</t>
  </si>
  <si>
    <t>9990010101</t>
  </si>
  <si>
    <t>9990010102</t>
  </si>
  <si>
    <t>9990010103</t>
  </si>
  <si>
    <t>9990093120</t>
  </si>
  <si>
    <t>0800000000</t>
  </si>
  <si>
    <t>0100000000</t>
  </si>
  <si>
    <t>0180000000</t>
  </si>
  <si>
    <t>0180020041</t>
  </si>
  <si>
    <t>0190000000</t>
  </si>
  <si>
    <t>0300000000</t>
  </si>
  <si>
    <t>0300030362</t>
  </si>
  <si>
    <t>0700000000</t>
  </si>
  <si>
    <t>9990093040</t>
  </si>
  <si>
    <t>Возмещение затрат или недополученных доходов от предоставления транспортных услуг населению в границах Кировского  муниципального района</t>
  </si>
  <si>
    <t>0120000000</t>
  </si>
  <si>
    <t>0120020041</t>
  </si>
  <si>
    <t>0120020042</t>
  </si>
  <si>
    <t>0120093070</t>
  </si>
  <si>
    <t>0110000000</t>
  </si>
  <si>
    <t>0110020040</t>
  </si>
  <si>
    <t>0110020041</t>
  </si>
  <si>
    <t>0110020042</t>
  </si>
  <si>
    <t>0130000000</t>
  </si>
  <si>
    <t>0130020041</t>
  </si>
  <si>
    <t>0130020042</t>
  </si>
  <si>
    <t>0140000000</t>
  </si>
  <si>
    <t>0140020041</t>
  </si>
  <si>
    <t>0140020042</t>
  </si>
  <si>
    <t>0140020043</t>
  </si>
  <si>
    <t>0140020044</t>
  </si>
  <si>
    <t>0110093060</t>
  </si>
  <si>
    <t>0150000000</t>
  </si>
  <si>
    <t>0150020040</t>
  </si>
  <si>
    <t>0160000000</t>
  </si>
  <si>
    <t>0160093080</t>
  </si>
  <si>
    <t>0170000000</t>
  </si>
  <si>
    <t>0170020040</t>
  </si>
  <si>
    <t>0200000000</t>
  </si>
  <si>
    <t>0200020261</t>
  </si>
  <si>
    <t>0200020262</t>
  </si>
  <si>
    <t>0300030361</t>
  </si>
  <si>
    <t>0600000000</t>
  </si>
  <si>
    <t>0610000000</t>
  </si>
  <si>
    <t>0610020140</t>
  </si>
  <si>
    <t>0610020141</t>
  </si>
  <si>
    <t>0620020140</t>
  </si>
  <si>
    <t>0630020140</t>
  </si>
  <si>
    <t>0640020140</t>
  </si>
  <si>
    <t>0180020042</t>
  </si>
  <si>
    <t>0200020263</t>
  </si>
  <si>
    <t>9990010104</t>
  </si>
  <si>
    <t>0500000000</t>
  </si>
  <si>
    <t>0500050560</t>
  </si>
  <si>
    <t>0120093090</t>
  </si>
  <si>
    <t>0400000000</t>
  </si>
  <si>
    <t>0400040460</t>
  </si>
  <si>
    <t>9990010105</t>
  </si>
  <si>
    <t>9990010106</t>
  </si>
  <si>
    <t>9990010107</t>
  </si>
  <si>
    <t>9990010108</t>
  </si>
  <si>
    <t>0610020142</t>
  </si>
  <si>
    <t>0800020140</t>
  </si>
  <si>
    <t>Всего программные мероприятия</t>
  </si>
  <si>
    <t>Непрограммные мероприятия</t>
  </si>
  <si>
    <t>Осуществление переданных органам местного самоуправления в соответствии с пунктом 1 статьи 4 Федерального закона "Об актах гражданского состояния" полномочий Российской Федерации по государственной регистрации актов гражданского состояния</t>
  </si>
  <si>
    <t>Обеспечение деятельности комиссий по делам несовершеннолетних и защите их прав</t>
  </si>
  <si>
    <t>Создание административных комиссий</t>
  </si>
  <si>
    <t>Государственноее управление охраной труда</t>
  </si>
  <si>
    <t>Регистрация и учет граждан, имеющих право на получение жилищных субсидий в связи с переселением из районов Крайнего Севера и приравненных к ним местностей</t>
  </si>
  <si>
    <t>Всего программные и непрограммные мероприятия</t>
  </si>
  <si>
    <t>Расходы на исполнение госполномочий по реализации дошкольного, общего и дополнительного образования в муниципальных общеобразовательных учреждениях по основным общеобразовательным программам</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</si>
  <si>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</si>
  <si>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Компенсация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</si>
  <si>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Субсидии из местного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 за счет средств краевого бюджета</t>
  </si>
  <si>
    <t>Субсидии из местного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 за счет средств районного бюджета</t>
  </si>
  <si>
    <t>Мероприятия в сфере образования (МКУ ЦОМОУ)</t>
  </si>
  <si>
    <t>Мероприятия в сфере образования (МКУ "ЦОМОУ")</t>
  </si>
  <si>
    <t>иные межбюджетные трансферты (переданные полномочия поселений по культуре МБУ "КДЦ")</t>
  </si>
  <si>
    <t>мероприятия по администрации  Кировского муниципального района</t>
  </si>
  <si>
    <t>Председатель Думы муниципального образования</t>
  </si>
  <si>
    <t>Председатель КСК</t>
  </si>
  <si>
    <t>Исполнительные листы</t>
  </si>
  <si>
    <t>Оценка недвижимости</t>
  </si>
  <si>
    <t xml:space="preserve">Программные направления деятельности органов местного самоуправления </t>
  </si>
  <si>
    <t>Всего  непрограммные мероприятия</t>
  </si>
  <si>
    <t>(тыс. руб.)</t>
  </si>
  <si>
    <t>Код бюджетной классификации Российской Федерации</t>
  </si>
  <si>
    <t>Пенсионное обеспечение</t>
  </si>
  <si>
    <t>Раз-дел</t>
  </si>
  <si>
    <t>Под-раз-дел</t>
  </si>
  <si>
    <t>Вид рас-хо-дов</t>
  </si>
  <si>
    <t>01</t>
  </si>
  <si>
    <t>00</t>
  </si>
  <si>
    <t>Мероприятия непрограммных направлений деятельности органов местного самоуправления</t>
  </si>
  <si>
    <t>03</t>
  </si>
  <si>
    <t>Руководство и управление в сфере установленных функций органов местного самоуправления</t>
  </si>
  <si>
    <t>04</t>
  </si>
  <si>
    <t>1 11 05035 05 0000 120</t>
  </si>
  <si>
    <t>Дотации бюджетам муниципальных районов на выравнивание бюджетной обеспеченности</t>
  </si>
  <si>
    <t xml:space="preserve">Субсидии бюджетным учреждениям </t>
  </si>
  <si>
    <t>951</t>
  </si>
  <si>
    <t>Приложение № 1</t>
  </si>
  <si>
    <t>Расходы на обеспечение деятельности  (оказание услуг, выполнение работ) муниципальных учреждений ( прочие учреждения)</t>
  </si>
  <si>
    <t>Публичные нормативные социальные выплаты гражданам</t>
  </si>
  <si>
    <t>310</t>
  </si>
  <si>
    <t>Социальные выплаты гражданам, кроме публичных нормативных социальных выплат</t>
  </si>
  <si>
    <t>Обслуживание государственного (муниципального) долга</t>
  </si>
  <si>
    <t>Субсидии бюджетным учреждениям</t>
  </si>
  <si>
    <t>Мероприятия по развитию и поддержке клубов</t>
  </si>
  <si>
    <t>7952111</t>
  </si>
  <si>
    <t>10</t>
  </si>
  <si>
    <t>1 11 05013 13 0000 120</t>
  </si>
  <si>
    <t>Субвенции на компенсацию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</si>
  <si>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Обслуживание  муниципального долга</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</si>
  <si>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</si>
  <si>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Всего расходов</t>
  </si>
  <si>
    <t>01 03 01 00 05 0000 710</t>
  </si>
  <si>
    <t>01 03 01 00 05 0000 810</t>
  </si>
  <si>
    <t>Субсидии бюджетным учреждениям (МБУ ДОД «КДШИ»)</t>
  </si>
  <si>
    <t>Субсидии бюджетным учреждениям  (МБУ ДОД «ГДШИ")</t>
  </si>
  <si>
    <t>Субвенции бюджетам муниципальных районов на выполнение передаваемых полномочий субъектов Российской Федерации</t>
  </si>
  <si>
    <t>1 00 00000 00 0000 000</t>
  </si>
  <si>
    <t>НАЛОГОВЫЕ И НЕНАЛОГОВЫЕ ДОХОДЫ</t>
  </si>
  <si>
    <t>1 01 00000 00 0000 000</t>
  </si>
  <si>
    <t>Мероприятия по развитию и поддержке образовательных учреждений</t>
  </si>
  <si>
    <t>Противопожарная безопасность образовательных учреждений</t>
  </si>
  <si>
    <t>Санитарно-эпидемиологическая безопасность образовательных учреждений</t>
  </si>
  <si>
    <t>НАЛОГИ НА ПРИБЫЛЬ, ДОХОДЫ</t>
  </si>
  <si>
    <t>Налог на доходы физических лиц</t>
  </si>
  <si>
    <t>1 05 00000 00 0000 000</t>
  </si>
  <si>
    <t>Субсидии бюджетам бюджетной системы Российской Федерации (межбюджетные субсидии)</t>
  </si>
  <si>
    <t>НАЛОГИ НА СОВОКУПНЫЙ ДОХОД</t>
  </si>
  <si>
    <t>Единый сельскохозяйственный налог</t>
  </si>
  <si>
    <t>1 08 00000 00 0000 000</t>
  </si>
  <si>
    <t>ГОСУДАРСТВЕННАЯ ПОШЛИНА</t>
  </si>
  <si>
    <t>1 11 00000 00 0000 000</t>
  </si>
  <si>
    <t>1 12 00000 00 0000 000</t>
  </si>
  <si>
    <t>ПЛАТЕЖИ ПРИ ПОЛЬЗОВАНИИ ПРИРОДНЫМИ РЕСУРСАМИ</t>
  </si>
  <si>
    <t>Плата за негативное воздействие на окружающую среду</t>
  </si>
  <si>
    <t xml:space="preserve">1 13 00000 00 0000 000 </t>
  </si>
  <si>
    <t>ДОХОДЫ ОТ ОКАЗАНИЯ ПЛАТНЫХ УСЛУГ И КОМПЕНСАЦИИ ЗАТРАТ ГОСУДАРСТВА</t>
  </si>
  <si>
    <t>1 14 00000 00 0000 000</t>
  </si>
  <si>
    <t>ДОХОДЫ ОТ ПРОДАЖИ МАТЕРИАЛЬНЫХ И НЕМАТЕРИАЛЬНЫХ АКТИВОВ</t>
  </si>
  <si>
    <t>1 16 00000 00 0000 000</t>
  </si>
  <si>
    <t>ШТРАФЫ, САНКЦИИ, ВОЗМЕЩЕНИЕ УЩЕРБА</t>
  </si>
  <si>
    <t>2 00 00000 00 0000 000</t>
  </si>
  <si>
    <t>2 02 00000 00 0000 000</t>
  </si>
  <si>
    <t>Дотации от других бюджетов бюджетной системы Российской Федерации</t>
  </si>
  <si>
    <t>610</t>
  </si>
  <si>
    <t>Ве-домст-во</t>
  </si>
  <si>
    <t>Мероприятия по развитию физкультуры и спорта</t>
  </si>
  <si>
    <t>Подпрограмма  № 1 «Развитие и поддержка муниципальных образовательных учреждений»</t>
  </si>
  <si>
    <t>Подпрограмма № 2 «Развитие дошкольного образования в Кировском муниципальном районе»</t>
  </si>
  <si>
    <t>Мероприятия по развитию и поддержке дошкольных образовательных учреждений</t>
  </si>
  <si>
    <t>Подпрограмма № 3 «Безопасность образовательных учреждений»</t>
  </si>
  <si>
    <t>Подпрограмма № 4 «Развитие внешкольного образования»</t>
  </si>
  <si>
    <t>Подпрограмма № 5 «Переподготовка и повышение кадров»</t>
  </si>
  <si>
    <t>Подпрограмма № 7 «Другие вопросы в области образования»</t>
  </si>
  <si>
    <t>Иные межбюджетные трансферты</t>
  </si>
  <si>
    <t>ВСЕГО ДОХОДОВ:</t>
  </si>
  <si>
    <t>01 02 00 00 00 0000 000</t>
  </si>
  <si>
    <t>Кредиты   кредитных организаций в валюте Российской Федерации</t>
  </si>
  <si>
    <t>01 02 00 00 05 0000 710</t>
  </si>
  <si>
    <t>Получение кредитов от кредитных организаций районным бюджетом в валюте Российской Федерации</t>
  </si>
  <si>
    <t>01 02 00 00 05 0000 810</t>
  </si>
  <si>
    <t>Погашение районным бюджетом кредитов от кредитных организаций в валюте Российской Федерации</t>
  </si>
  <si>
    <t>01 03 00 00 00 0000 000</t>
  </si>
  <si>
    <t>Бюджетные кредиты от других бюджетов бюджетной системы Российской Федерации</t>
  </si>
  <si>
    <t>Дотации на выравнивание бюджетной обеспеченности поселений из бюджета муниципального района</t>
  </si>
  <si>
    <t>Субвенции бюджетам муниципальных образований Приморского края  на осуществление отдельных государственных полномочий по созданию и обеспечению деятельности комиссий по делам несовершеннолетних и защите их прав</t>
  </si>
  <si>
    <t>Получение бюджетных кредитов от других бюджетов бюджетной системы Российской Федерации районным бюджетом в валюте Российской Федерации</t>
  </si>
  <si>
    <t>Погашение районным бюджетом бюджетных кредитов от других бюджетов бюджетной системы Российской Федерации в валюте Российской Федерации</t>
  </si>
  <si>
    <t>ИТОГО ИСТОЧНИКОВ</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</si>
  <si>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</si>
  <si>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111 05025 05 0000 120</t>
  </si>
  <si>
    <t>1 17 05000 00 0000 180</t>
  </si>
  <si>
    <t>ПРОЧИЕ НЕНАЛОГОВЫЕ ДОХОДЫ</t>
  </si>
  <si>
    <t>Мероприятия по предупреждению развития наркомании в районе</t>
  </si>
  <si>
    <t>1 17 05050 05 0000 180</t>
  </si>
  <si>
    <t>Прочие неналоговые доходы бюджетов муниципальных районов</t>
  </si>
  <si>
    <t>Субвенции бюджетам муниципальных районов Приморского края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входящих в их состав</t>
  </si>
  <si>
    <t>1 11 05075 05 0000 120</t>
  </si>
  <si>
    <t>Доходы от сдачи в аренду имущества, составляющего казну муниципальных районов (за исключением земельных участков)</t>
  </si>
  <si>
    <t>Субсидии бюджетным учреждениям  (МБУ "КДЦ")</t>
  </si>
  <si>
    <t>Субсидии бюджетным учреждениям (МБУ "КДЦ")</t>
  </si>
  <si>
    <t>Дотации бюджетам муниципальных районов на поддержку мер по обеспечению сбалансированности бюджетов</t>
  </si>
  <si>
    <t>Прочие субсидии бюджетам муниципальных районов</t>
  </si>
  <si>
    <t>Наименование</t>
  </si>
  <si>
    <t>Целевая статья</t>
  </si>
  <si>
    <t xml:space="preserve">Непрограммные направления деятельности органов местного самоуправления </t>
  </si>
  <si>
    <t>01 05 00 00 00 0000 000</t>
  </si>
  <si>
    <t>Изменение остатков средств на счетах по учету средств</t>
  </si>
  <si>
    <t>Защита населения и территории от чрезвычайных ситуаций природного и техногенного характера, гражданская оборона</t>
  </si>
  <si>
    <t>Содержание автомобильных дорог на территории Кировского района</t>
  </si>
  <si>
    <t>07</t>
  </si>
  <si>
    <t>Захоронение</t>
  </si>
  <si>
    <t>Прочие мероприятия по благоустройству</t>
  </si>
  <si>
    <t>Субвенции бюджетам субъектов Российской Федерации и муниципальных образований</t>
  </si>
  <si>
    <t>Мероприятия в сфере образования</t>
  </si>
  <si>
    <t>Охрана семьи и детства</t>
  </si>
  <si>
    <t>1 01 02000 01 0000 110</t>
  </si>
  <si>
    <t>1 12 01000 01 0000 120</t>
  </si>
  <si>
    <t>к решению Думы Кировского</t>
  </si>
  <si>
    <t>муниципального района</t>
  </si>
  <si>
    <t>РАСПРЕДЕЛЕНИЕ</t>
  </si>
  <si>
    <t>000</t>
  </si>
  <si>
    <t>001</t>
  </si>
  <si>
    <t>006</t>
  </si>
  <si>
    <t>003</t>
  </si>
  <si>
    <t>002</t>
  </si>
  <si>
    <t>Глава муниципального образования</t>
  </si>
  <si>
    <t>1 05 03000 01 0000 110</t>
  </si>
  <si>
    <t>ДОХОДЫ ОТ ИСПОЛЬЗОВАНИЯ ИМУЩЕСТВА НАХОДЯЩЕГОСЯ В ГОСУДАРСТВЕННОЙ И МУНИЦИПАЛЬНОЙ СОБСТВЕННОСТИ</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</si>
  <si>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автономных учреждений)</t>
  </si>
  <si>
    <t>1 13 02995 05 0000 130</t>
  </si>
  <si>
    <t>Прочие доходы от компенсации затрат бюджетов муниципальных районов</t>
  </si>
  <si>
    <t>1 14 02050 05 0000 410</t>
  </si>
  <si>
    <t>Муниципальная программа "Развитие МФЦ предоставления государственных и муниципальных услуг населению Кировского муниципального района на 2016-2018 годы"</t>
  </si>
  <si>
    <t>Муниципальная программа "Доступная среда для инвалидов в  Кировском муниципальном районе на 2016-2019 годы"</t>
  </si>
  <si>
    <t xml:space="preserve">Субвенции бюджетам муниципальных районов Приморского края  на осуществление отдельных государственных  полномочий по государственному управлению  охраной труда </t>
  </si>
  <si>
    <t>Субвенции бюджетам муниципальных районов Приморского края на реализацию отдельных государственных полномочий по созданию административных  комиссий</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</si>
  <si>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 же имущества муниципальных унитарных предприятий, в том числе казенных), в части реализации основных средств по указанному имуществу</t>
  </si>
  <si>
    <t xml:space="preserve">                                                                                        муниципального района</t>
  </si>
  <si>
    <t>1 03 02000 01 0000 110</t>
  </si>
  <si>
    <t>Акцизы по подакцизным товарам (продукции), производимым на территории Российской федерации</t>
  </si>
  <si>
    <t>1 03 00000 00 0000 000</t>
  </si>
  <si>
    <t>НАЛОГИ НА ТОВАРЫ (РАБОТЫ, УСЛУГИ), РЕАЛИЗУЕМЫЕ НА ТЕРРИТОРИИ РОССИЙСКОЙ ФЕДЕРАЦИИ</t>
  </si>
  <si>
    <t>1 05 04020 02 0000 110</t>
  </si>
  <si>
    <t>Налог, взимаемый в связи с применением патентной системы налогообложения, зачисляемый в бюджеты муниципальных районов</t>
  </si>
  <si>
    <t>1 08 03010 01 0000 110</t>
  </si>
  <si>
    <t>Иные межбюджетные трансферты бюджетам бюджетной системы</t>
  </si>
  <si>
    <t>9990051200</t>
  </si>
  <si>
    <t>Подпрограмма № 6 «Организация отдыха  детей»</t>
  </si>
  <si>
    <t>0800092070</t>
  </si>
  <si>
    <t>0900000000</t>
  </si>
  <si>
    <t>0900090960</t>
  </si>
  <si>
    <t>1000000000</t>
  </si>
  <si>
    <t>Муниципальная программа "Развитие образования в Кировском муниципальном районе на 2018-2022  годы"</t>
  </si>
  <si>
    <t>Подпрограмма № 9 «Предупреждение развития наркомании в районе»</t>
  </si>
  <si>
    <t>Доплата к  пенсии  муниципальным служащим</t>
  </si>
  <si>
    <t xml:space="preserve">Мероприятия в области коммунального хозяйства </t>
  </si>
  <si>
    <t>1000010160</t>
  </si>
  <si>
    <t>1000010162</t>
  </si>
  <si>
    <t>1000010161</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</si>
  <si>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 же средства от  продажи права на заключение договоров аренды указанных земельных участков</t>
  </si>
  <si>
    <t>9990093110</t>
  </si>
  <si>
    <t>Подпрограмма № 10 «Другие вопросы в области культуры на осуществление части полномочий в соответствии с  заключенными соглашениями (организация досуга и обеспечение услугами культуры)»</t>
  </si>
  <si>
    <t>иные межбюджетные трансферты (переданные полномочия поселений по культуре МКУ "ЦОМОУ")</t>
  </si>
  <si>
    <t>0640020141</t>
  </si>
  <si>
    <t>Проведение выборов в представительные органы муниципального образования</t>
  </si>
  <si>
    <t>9990010109</t>
  </si>
  <si>
    <t>1 14 06013 13 0000 430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</si>
  <si>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</si>
  <si>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9990091030</t>
  </si>
  <si>
    <t>Иные межбюджетные трансферты бюджетам бюджетной системы (по Указу Президента Российской Федерации от 7 мая 2012 года N 597 "О мероприятиях по реализации государственной социальной политики" в части мероприятий, направленных на повышение средней заработной платы работников муниципальных учреждений культуры)</t>
  </si>
  <si>
    <t>Иные межбюджетные трансферты бюджетам городских поселений Кировского муниципального района  из местного бюджета на ремонт автомобильных дорог общего пользования местного значения в границах населенных пунктов</t>
  </si>
  <si>
    <t>1000010163</t>
  </si>
  <si>
    <t>Плата за пользование имуществом</t>
  </si>
  <si>
    <t>9990010110</t>
  </si>
  <si>
    <t>Иные межбюджетные трансферты бюджетам сельских поселений Кировского муниципального района  из местного бюджета на содержание и ремонт автомобильных дорог общего пользования местного значения в границах населенных пунктов</t>
  </si>
  <si>
    <t>1000010164</t>
  </si>
  <si>
    <t>Сумма на 2021 год</t>
  </si>
  <si>
    <t>1200093110</t>
  </si>
  <si>
    <t>1200012261</t>
  </si>
  <si>
    <t>1200012262</t>
  </si>
  <si>
    <t>1200012263</t>
  </si>
  <si>
    <t>1200051180</t>
  </si>
  <si>
    <t>1100000000</t>
  </si>
  <si>
    <t>1100011160</t>
  </si>
  <si>
    <t>1200000000</t>
  </si>
  <si>
    <t>0700020271</t>
  </si>
  <si>
    <t>0700020272</t>
  </si>
  <si>
    <t>мероприятия по МКУ ЦОМОУ</t>
  </si>
  <si>
    <t>Субвенции на осуществление первичного воинского учета на территориях, где отсутствуют военные комиссариаты (межбюджетные трансферты)</t>
  </si>
  <si>
    <t>Субвенции бюджетам муниципальных районов Приморского края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входящих в их состав (межбюджетные трансферты)</t>
  </si>
  <si>
    <t>Финансовое обеспечение выполнения муниципального задания клубными учреждениями МБУ КДЦ Кировского муниципального района</t>
  </si>
  <si>
    <t>Финансовое обеспечение выполнения муниципального задания межпоселенческой центральной библиотекой МБУ КДЦ Кировского муниципального района</t>
  </si>
  <si>
    <t>Финансовое обеспечение выполнения муниципального задания районным музеем им. В.М. Малаева  и культурно-этнографическим музеем-комплексом "Крестьянская усадьба. Начало ХХ века." с. Подгорное МБУ КДЦ Кировского муниципального района</t>
  </si>
  <si>
    <t>Финансовое обеспечение клубных учреждений сельских поселений (Крыловское сельское поселение, Руновское сельское поселение (оказание услуг, выполнение работ)</t>
  </si>
  <si>
    <t>Субсидии бюджетным учреждениям (КДЦ)</t>
  </si>
  <si>
    <t>Финансовое обеспечение (бухгалтерский учет) МБУ КДЦ Кировского муниципального района. Субсидии бюджетным учреждениям</t>
  </si>
  <si>
    <t>Финансовое обеспечение (бухгалтерский учет)</t>
  </si>
  <si>
    <t>Меропрятия по ликвидации МАУ "МФЦ"</t>
  </si>
  <si>
    <t>9990010120</t>
  </si>
  <si>
    <t>2 02 35930 05 0000 150</t>
  </si>
  <si>
    <t>2 02 30000 00 0000 150</t>
  </si>
  <si>
    <t>2 02 15002 05 0000 150</t>
  </si>
  <si>
    <t>2 02 35120 05 0000 150</t>
  </si>
  <si>
    <t>2 02 30024 05 0000 150</t>
  </si>
  <si>
    <t>Резервный фонд администрации Кировского муниципального района</t>
  </si>
  <si>
    <t>9990010140</t>
  </si>
  <si>
    <t>1300000000</t>
  </si>
  <si>
    <t>Основное мероприятие "Совершенствование системы противодействия коррупции в Кировском районе"</t>
  </si>
  <si>
    <t>1300013000</t>
  </si>
  <si>
    <t>1300013360</t>
  </si>
  <si>
    <t>9990093130</t>
  </si>
  <si>
    <t xml:space="preserve">Содержание дорожной техники </t>
  </si>
  <si>
    <t>9990010150</t>
  </si>
  <si>
    <t>Мероприятия в области коммунального хозяйства (содержание интерната)</t>
  </si>
  <si>
    <t>1400000000</t>
  </si>
  <si>
    <t>1400192620</t>
  </si>
  <si>
    <t>Содержание жилых помещений, приобретаемых в рамках выполнения полномочий по обеспечению детей сирот и детей, оставшихся без попечения родителей, лиц из числа детей -сирот и детей, оставшихся без попечения родителей, жилыми помещениями</t>
  </si>
  <si>
    <t>9990010160</t>
  </si>
  <si>
    <t>9990010130</t>
  </si>
  <si>
    <t>Мероприятия по созданию в общеобразовательных организациях, расположенных в сельской местности, условий для занятий физической культурой и спортом</t>
  </si>
  <si>
    <t>0110020000</t>
  </si>
  <si>
    <t>011E250970</t>
  </si>
  <si>
    <t>0110093150</t>
  </si>
  <si>
    <t>Мероприятия по обеспечению развития и укрепления материально-технической базы домов культуры в населенных пунктах с числом жителей до 50 тыс. человек</t>
  </si>
  <si>
    <t xml:space="preserve">Субсидии бюджетам муниципальных образований на обеспечение развития и укрепления материально-технической базы домов культуры в населенных пунктах с числом жителей до 50 тыс. человек </t>
  </si>
  <si>
    <t>06100R4670</t>
  </si>
  <si>
    <t>06100S4670</t>
  </si>
  <si>
    <t>Мероприятия по комплектованию книжных фондов и обеспечению информационно- техническим оборудованием библиотек</t>
  </si>
  <si>
    <t>0620000000</t>
  </si>
  <si>
    <t>0620092540</t>
  </si>
  <si>
    <t>Социальное обеспечение населения</t>
  </si>
  <si>
    <t>Субвенции бюджетам муниципальных образований Приморского края на меры социальной поддержки педагогическим работникам краевых государственных и муниципальных образовательных организаций Приморского края</t>
  </si>
  <si>
    <t>Мероприятия по развитию спортивной инфраструктуры, находящейся в муниципальной собственности</t>
  </si>
  <si>
    <t>040P592190</t>
  </si>
  <si>
    <t>040P592191</t>
  </si>
  <si>
    <t xml:space="preserve">Мероприятия по приобретению музыкальных инструментов и художественного инвентаря для учреждений дополнительного образования детей в сфере культуры </t>
  </si>
  <si>
    <t xml:space="preserve"> Мероприятия по противодействию коррупции </t>
  </si>
  <si>
    <t>Субсидии бюджетам муниципальных образований Приморского края на создание в общеобразовательных организациях, расположенных в сельской местности, условий для занятий физической культурой и спортом (краевой бюджет)</t>
  </si>
  <si>
    <t xml:space="preserve">Субвенции  на обеспечение   бесплатным питанием детей, обучающихся муниципальных общеобразовательных учреждениях </t>
  </si>
  <si>
    <t>952</t>
  </si>
  <si>
    <t>Субсидии бюджетам муниципальных образований Приморского края на развитие спортивной инфраструктуры, находящейся в муниципальной собственности (краевой бюджет) (администрация КМР)</t>
  </si>
  <si>
    <t>0610060000</t>
  </si>
  <si>
    <t>Расходы на обеспечение развития и укрепления материально-технической базы домов культуры в населенных пунктах с числом жителей до 50 тыс. человек за счет средств местного бюджета, в целях софинансирования которых из бюджета Приморского края предоставляются субсидии</t>
  </si>
  <si>
    <t>Субсидии бюджетам муниципальных образований на комплектование книжных фондов и обеспечение информационно- техническим оборудованием библиотек (краевой бюджет)</t>
  </si>
  <si>
    <t>Расходы на комплектование книжных фондов и обеспечение информационно- техническим оборудованием библиотек за счет средств местного бюджета, в целях софинансирования которых из бюджета Приморского края предоставляются субсидии</t>
  </si>
  <si>
    <t>Возмещение затрат или недополученных доходов от обеспечения граждан твердым топливом в границах Кировского  муниципального района (краевой бюджет)</t>
  </si>
  <si>
    <t>Возмещение затрат или недополученных доходов от обеспечения граждан твердым топливом в границах Кировского  муниципального района (местный бюджет)</t>
  </si>
  <si>
    <t>Погашение кредиторской задолженности бюджетных учреждений</t>
  </si>
  <si>
    <t xml:space="preserve">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 </t>
  </si>
  <si>
    <t>2 02 15000 00 0000 150</t>
  </si>
  <si>
    <t>2 02 29999 05 0000 150</t>
  </si>
  <si>
    <t>202 30024 05 0000 150</t>
  </si>
  <si>
    <t xml:space="preserve">Субвенции бюджетам муниципальных районов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t>
  </si>
  <si>
    <t>2 02 40000 00 0000 150</t>
  </si>
  <si>
    <t>2  02 40014 05 0000 150</t>
  </si>
  <si>
    <t>Налог, взимаемый в связи с применением упрощенной системы налогообложения</t>
  </si>
  <si>
    <t>2 02 15001 05 0000 150</t>
  </si>
  <si>
    <t>Субсидии бюджетам муниципальных образований на  приобретение музыкальных инструментов и художественного инвентаря для учреждений дополнительного образования детей в сфере культуры (краевой бюджет)</t>
  </si>
  <si>
    <t>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местного бюджета, в целях софинансирования которых из бюджета Приморского края предоставляются субсидии</t>
  </si>
  <si>
    <t>Прочие межбюджетные трансферты общего характера (дотация на сбалансированность)</t>
  </si>
  <si>
    <t>БЕЗВОЗМЕЗДНЫЕ ПОСТУПЛЕНИЯ</t>
  </si>
  <si>
    <t>Безвозмездные поступления от других бюджетов бюджетной системы Российской Федерации</t>
  </si>
  <si>
    <t>ИНЫЕ МЕЖБЮДЖЕТНЫЕ ТРАНСФЕРТЫ</t>
  </si>
  <si>
    <t>1100011161</t>
  </si>
  <si>
    <t>Мероприятия по строительству, реконструкции и приобретению зданий муниципальных общеобразовательных организаций (строительство школы в с. Уссурка)</t>
  </si>
  <si>
    <t>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(краевой бюджет)</t>
  </si>
  <si>
    <t>Расходы на строительство, реконструкцию и приобретение зданий муниципальных общеобразовательных организаций за счет средств местного бюджета, в целях софинансирования которых из бюджета Приморского края предоставляются субсидии</t>
  </si>
  <si>
    <t xml:space="preserve">Мероприятия по капитальному ремонту оздоровительных лагерей, находящихся в собственности муниципальных образований </t>
  </si>
  <si>
    <t>Субсидии бюджетам муниципальных образований на  капитальный ремонт оздоровительных лагерей, находящихся в собственности муниципальных образований (краевой бюджет)</t>
  </si>
  <si>
    <t>Расходы на  капитальный ремонт оздоровительных лагерей, находящихся в собственности муниципальных образований за счет средств местного бюджета, в целях софинансирования которых из бюджета Приморского края предоставляются субсидии</t>
  </si>
  <si>
    <t xml:space="preserve">Реализация государственных полномочий органов опеки и попечительства в отношении несовершеннолетних </t>
  </si>
  <si>
    <t>Реализация государственных полномочий по социальной поддержке детей, оставшихся без попечения родителей, и лиц, принявших на воспитание в семью детей, оставшихся без попечения родителей</t>
  </si>
  <si>
    <t>Реализация государственного полномочия по назначению и предоставлению выплаты единовременного пособия при передаче ребенка на воспитание в семью</t>
  </si>
  <si>
    <t>Субвенции бюджетам муниципальных районов Приморского края на реализацию государственных полномочий по социальной поддержке детей, оставшихся без попечения родителей, и лиц, принявших на воспитание в семью детей, оставшихся без попечения родителей</t>
  </si>
  <si>
    <t>Субвенции бюджетам муниципальных образований Приморского края на реализацию государственного полномочия по назначению и предоставлению выплаты единовременного пособия при передаче ребенка на воспитание в семью</t>
  </si>
  <si>
    <t>0110092040</t>
  </si>
  <si>
    <t>0110020044</t>
  </si>
  <si>
    <t>0190020041</t>
  </si>
  <si>
    <t>0300030363</t>
  </si>
  <si>
    <t>9990093160</t>
  </si>
  <si>
    <t>9990093050</t>
  </si>
  <si>
    <t>9990052600</t>
  </si>
  <si>
    <t>Расходы на подготовку документации для выхода на аукцион на право проведения проектно-изыскательских работ по строительству здания муниципальной общеобразовательной организации (с. Уссурка)</t>
  </si>
  <si>
    <t>Мероприятия по предупреждению терроризма (администрация)</t>
  </si>
  <si>
    <t>Субсидии юридическим лицам (кроме некоммерческих организаций), индивидуальным предпринимателям</t>
  </si>
  <si>
    <t>1000092390</t>
  </si>
  <si>
    <t>Мероприятия по организации физкультурно-спортивной работы по месту жительства</t>
  </si>
  <si>
    <t xml:space="preserve">Мероприятия по развитию спортивной инфрастурктуры (краевой бюджет) </t>
  </si>
  <si>
    <t>040Р592220</t>
  </si>
  <si>
    <t>041Р592220</t>
  </si>
  <si>
    <t>0640092480</t>
  </si>
  <si>
    <t>Реализация государственных полномочий по организации мероприятий при осуществлении деятельности по обращению с животными без владельцев</t>
  </si>
  <si>
    <t>Составление (изменение) списков кандидатов  в присяжные заседатели федеральных судов общей юрисдикции</t>
  </si>
  <si>
    <t>Субвенции на организацию и обеспечение оздоровления и отдыха детей Приморского края (за исключением организации отдыха детей в каникулярное время)</t>
  </si>
  <si>
    <t>1000Б92390</t>
  </si>
  <si>
    <t>Капитальный ремонт и ремонт автомобильных дорог общего пользования населенных пунктов за счет дорожного фонда Приморского края</t>
  </si>
  <si>
    <t>Расходы на капитальный ремонт и ремонт автомобильных дорог общего пользования населенных пунктов за счет дорожного фонда Кировского муниципального района в целях софинансирования субсидии из краевого бюджета</t>
  </si>
  <si>
    <t xml:space="preserve">Субсидии бюджетным учреждениям (краевой бюджет) </t>
  </si>
  <si>
    <t xml:space="preserve">Субсидии бюджетным учреждениям (местный бюджет) </t>
  </si>
  <si>
    <t>Мероприятия, направленные на предупреждение распространения новой коронавирусной инфекции</t>
  </si>
  <si>
    <t>9990010141</t>
  </si>
  <si>
    <t>0400040470</t>
  </si>
  <si>
    <t>Расходы на подготовку сметной документации, прохождение экспертизы и иные расходы по спортивным объектам</t>
  </si>
  <si>
    <t>Расходы на реализацию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</si>
  <si>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999W958530</t>
  </si>
  <si>
    <t>Расходы на приобретение светового, звукового и мультимедийного (светодиодного экрана с комплектующими) оборудования  за счет средств местного бюджета, в целях софинансирования которых из бюджета Приморского края предоставляются субсидии</t>
  </si>
  <si>
    <t>2  02 45303 05 0000 150</t>
  </si>
  <si>
    <t>2 02 35304 05 0000 150</t>
  </si>
  <si>
    <t>Субвенции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</si>
  <si>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</si>
  <si>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Субвенции на государственную регистрацию актов гражданского состояния за счет средств резервного фонда Правительства Российской Федерации</t>
  </si>
  <si>
    <t>999995930F</t>
  </si>
  <si>
    <t>Субвенции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</si>
  <si>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0110053030</t>
  </si>
  <si>
    <t>1500000000</t>
  </si>
  <si>
    <t xml:space="preserve">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t>
  </si>
  <si>
    <t>Социальная поддержка детей, оставшихся без попечения родителей, и лиц, принявших на воспитание в семью детей, оставшихся без попечения родителей</t>
  </si>
  <si>
    <t>Назначение и предоставление выплаты единовременного пособия при передаче ребенка на воспитание в семью</t>
  </si>
  <si>
    <t>1501093050</t>
  </si>
  <si>
    <t>1502052600</t>
  </si>
  <si>
    <t>Мероприятия по переподготовке и повышению кадров</t>
  </si>
  <si>
    <t>Расходы на капитальный ремонт зданий муниципальных общеобразовательных учреждений, в целях софинансирования которых из бюджета Приморского края предоставляются субсидии</t>
  </si>
  <si>
    <t>06100Б0000</t>
  </si>
  <si>
    <t>963</t>
  </si>
  <si>
    <t>995</t>
  </si>
  <si>
    <t>996</t>
  </si>
  <si>
    <t>997</t>
  </si>
  <si>
    <t>998</t>
  </si>
  <si>
    <t>1008</t>
  </si>
  <si>
    <t>1015</t>
  </si>
  <si>
    <t>Муниципальная программа «Комплексное развитие сельских территорий в Кировском муниципальном районе на 2021-2027 годы»</t>
  </si>
  <si>
    <t>Единая субвенция местным бюджетам из краевого бюджета</t>
  </si>
  <si>
    <t>Субвенции на проведение Всероссийской переписи</t>
  </si>
  <si>
    <t>9999993000</t>
  </si>
  <si>
    <t>9999954690</t>
  </si>
  <si>
    <t>0110030041</t>
  </si>
  <si>
    <t>0120030041</t>
  </si>
  <si>
    <t>0140030041</t>
  </si>
  <si>
    <t>Муниципальная программа "Социальная поддержка детей-сирот и детей, оставшихся без попечения родителей, лиц из числа детей-сирот и детей, оставшихся без попечения родителей, и лиц, принявших на воспитание в семью детей, оставшихся без попечения родителей в Кировском муниципальном районе на 2021-2025 годы"</t>
  </si>
  <si>
    <t>2 02 36900 05 0000 150</t>
  </si>
  <si>
    <t>Единая субвенция бюджетам муниципальных районов из бюджета субъекта Российской Федерации</t>
  </si>
  <si>
    <t>1100011162</t>
  </si>
  <si>
    <t>Мероприятия в сфере повышения энергетической эффективности (администрация)</t>
  </si>
  <si>
    <t>Субсидии бюджетным учреждениям (образовательные учреждения)</t>
  </si>
  <si>
    <t>Субсидии бюджетным учреждениям (МБУ КДЦ КМР)</t>
  </si>
  <si>
    <t>Мероприятия в сфере образования (бюджетные образовательные учреждения)</t>
  </si>
  <si>
    <t>Приложение № 7.1</t>
  </si>
  <si>
    <t>Мероприятия по развитию и поддержке учреждений дополнительного образования</t>
  </si>
  <si>
    <t>0140020045</t>
  </si>
  <si>
    <t>Мероприятия по ликвидации учреждений</t>
  </si>
  <si>
    <t>9990010180</t>
  </si>
  <si>
    <t>Мероприятия в сфере повышения энергетической эффективности (ЦОМОУ)</t>
  </si>
  <si>
    <t>1100011163</t>
  </si>
  <si>
    <t>0160020041</t>
  </si>
  <si>
    <t>Организация и обеспечение оздоровления и летнего отдыха детей Кировского муниципального района за счет средств местного бюджета</t>
  </si>
  <si>
    <t>Возмещение затрат или недополученных доходов от предоставления транспортных услуг населению в границах Кировского  муниципального района (изготовление бланков по пассажирским перевозкам)</t>
  </si>
  <si>
    <t>Субсидии бюджетным учреждениям (МБОУ ДО "ДЮСШ "Патриот" п. Кировский)</t>
  </si>
  <si>
    <t>0140020046</t>
  </si>
  <si>
    <t>005</t>
  </si>
  <si>
    <t>011Е193140</t>
  </si>
  <si>
    <t>Мероприятия по укреплению материально-технической базы муниципальных домов культуры</t>
  </si>
  <si>
    <t>Субсидии бюджетам муниципальных образований на укрепление материально-технической базы домов культуры за счет средств краевого бюджета</t>
  </si>
  <si>
    <t>Расходы на укрепление материально-технической базы домов культуры за счет средств местного бюджета, в целях софинансирования которых из бюджета Приморского края предоставляются субсидии</t>
  </si>
  <si>
    <t>0610092470</t>
  </si>
  <si>
    <t>06100S2470</t>
  </si>
  <si>
    <t>2 02 39999 05 0000 150</t>
  </si>
  <si>
    <t>Прочие субвенции бюджетам муниципальных районов</t>
  </si>
  <si>
    <t>9990093190</t>
  </si>
  <si>
    <t>0300030364</t>
  </si>
  <si>
    <t>Субсидии бюджетным учреждениям  (МБОУ ДОД ДЮЦ)</t>
  </si>
  <si>
    <t>Субсидии бюджетным учреждениям (МБОУ ДО "ДЮСШ "Патриот" п. Кировский, МБОУ ДОД ДЮЦ)</t>
  </si>
  <si>
    <t>Муниципальная программа "Организация обеспечения  твердым топливом населения, проживающего на территории сельских поселений Кировского муниципального района" на 2022 – 2024 годы</t>
  </si>
  <si>
    <t>Содействие в подготовке проведения выборов</t>
  </si>
  <si>
    <t>9990010190</t>
  </si>
  <si>
    <t xml:space="preserve">Возмещение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</si>
  <si>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 xml:space="preserve"> Мероприятия по укреплению общественного здоровья</t>
  </si>
  <si>
    <t>Расходы на капитальный ремонт зданий муниципальных общеобразовательных учреждений (краевой бюджет)</t>
  </si>
  <si>
    <t>0110092340</t>
  </si>
  <si>
    <t>040P552280</t>
  </si>
  <si>
    <t>040P592230</t>
  </si>
  <si>
    <t>15030R0820</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</si>
  <si>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t>
  </si>
  <si>
    <t>Муниципальная программа "Энергосбережение и повышение энергетической эффективности в муниципальных учреждениях Кировского муниципального района на 2022-2026 годы"</t>
  </si>
  <si>
    <t>Муниципальная программа "Совершенствование межбюджетных отношений и управление муниципальным долгом в Кировском муниципальном районе на 2022-2024 годы"</t>
  </si>
  <si>
    <t>Мероприятия по капитальный ремонт зданий муниципальных общеобразовательных учреждений</t>
  </si>
  <si>
    <t>Финансовое обеспечение на выполнение муниципального задания школ искусств Кировского муниципального района</t>
  </si>
  <si>
    <t>0650020140</t>
  </si>
  <si>
    <t>0660020140</t>
  </si>
  <si>
    <t>0640020000</t>
  </si>
  <si>
    <t>1600014411</t>
  </si>
  <si>
    <t>Доходы, получаемые в виде арендной платы за земельные участки, государственная собственность на которые не разграничена, и которые расположеныв границах городских поселений а так же средства от продажи права на заключение договоров аренды указанных участков</t>
  </si>
  <si>
    <t>2 02 20000 00 0000 150</t>
  </si>
  <si>
    <t xml:space="preserve">Субсидии бюджетам муниципальных образований Приморского края на приобретение и поставку спортивного инвентаря, спортивного оборудования и иного имущества для развития массового спорта </t>
  </si>
  <si>
    <t>Субвенции бюджетам муниципальных   районов на  государственную регистрацию  актов гражданского состояния</t>
  </si>
  <si>
    <t>Субвенции бюджетам муниципальных районов Приморского края на составление (изменение) списков кандидатов в присяжные заседатели</t>
  </si>
  <si>
    <t xml:space="preserve">Субвенции бюджетам муниципальных районов Примосркого края на реализацию государственных полномочий органов опеки и попечительства в отношении несовершеннолетних </t>
  </si>
  <si>
    <t xml:space="preserve">Субвенции бюджетам муниципальных районов Приморского края на осуществление отдельных полномочий по расчету и предоставлению дотаций на выравнивание бюджетной обеспеченности бюджетам поселений, входящих в их состав </t>
  </si>
  <si>
    <t>Субвенции на регистрацию и учет граждан, имеющих право на получение жилищных субсидий в связи с переселением из районов крайнего Севера и приравненных к ним местностям</t>
  </si>
  <si>
    <t>Сумма на 
2024 год</t>
  </si>
  <si>
    <t>Общий объем на 2024 г</t>
  </si>
  <si>
    <r>
      <t>Субвенции бюджетам муниципальных образований Приморского края на обеспечение детей сирот и детей, оставшихся без попечения родителей, лиц из числа детей - сирот и детей, оставшихся без попечения родителей, жилыми помещениями</t>
    </r>
    <r>
      <rPr>
        <b/>
        <sz val="12"/>
        <rFont val="Times New Roman"/>
        <family val="1"/>
        <charset val="204"/>
      </rPr>
      <t xml:space="preserve"> </t>
    </r>
    <r>
      <rPr>
        <b/>
        <u/>
        <sz val="12"/>
        <rFont val="Times New Roman"/>
        <family val="1"/>
        <charset val="204"/>
      </rPr>
      <t>за счет краевого бюджета</t>
    </r>
  </si>
  <si>
    <t>99900R0820</t>
  </si>
  <si>
    <t>Финансовое обеспечение на выполнение муниципального задания "МБУ ДО КДШИ"</t>
  </si>
  <si>
    <t>Субсидии бюджетным учреждениям (МБУ ДО «КДШИ»)</t>
  </si>
  <si>
    <t>Субсидии бюджетным учреждениям (МБУ ДО «ГДШИ»)</t>
  </si>
  <si>
    <t>Сумма 
на 2024 год</t>
  </si>
  <si>
    <t>Субсидии бюджетам муниципальных образований Приморского края на софинансирование расходных обязательств субъектов РФ, свзяаннх с реализацией ФЦП "Увековечение памяти погибших при защите Отечества на 2019-2024 годы"</t>
  </si>
  <si>
    <t xml:space="preserve">Мероприятия по приобретению и поставке спортивного инвентаря, спортивного оборудования и иного имущества для развития массового спорта </t>
  </si>
  <si>
    <t>Расходы на приобретение и поставку спортивного инвентаря, спортивного оборудования и иного имущества для развития массового спорта за счет средств местного бюджета, в целях софинансирования которых из бюджета Приморского края предоставляются субсидии</t>
  </si>
  <si>
    <t>Субсидии бюджетам муниципальных образований Приморского края на приобретение и поставку спортивного инвентаря, спортивного оборудования и иного имущества для развития массового спорта  (краевой бюджет)</t>
  </si>
  <si>
    <t xml:space="preserve">                                                                                             Приложение  № 5</t>
  </si>
  <si>
    <t>Мероприятия по развитию и поддержке внешкольного образования (наказы избирателей)</t>
  </si>
  <si>
    <t>041P552280</t>
  </si>
  <si>
    <t>Мероприятия по приобретению ледозаливочной техники</t>
  </si>
  <si>
    <t xml:space="preserve">Мероприятия по оснащению объектов спортивной инфраструктуры спортивно-технологическим оборудованием (краевой бюджет) </t>
  </si>
  <si>
    <t xml:space="preserve">Мероприятия по оснащению объектов спортивной инфраструктуры спортивно-технологическим оборудованием (местный  бюджет) </t>
  </si>
  <si>
    <t>Субсидии бюджетам муниципальных образований Приморского края на приобретение едозаливочной техники  (краевой бюджет)</t>
  </si>
  <si>
    <t>Расходы на приобретение ледозаливочной техники за счет средств местного бюджета, в целях софинансирования которых из бюджета Приморского края предоставляются субсидии</t>
  </si>
  <si>
    <t>041Р500000</t>
  </si>
  <si>
    <t>Субсидии бюджетным учреждениям (МБОУ ДО "ДЮЦ")</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</si>
  <si>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федерального бюджета</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</si>
  <si>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t>
  </si>
  <si>
    <t>Муниципальная программа "Укрепление общественного здоровья" на 2021-2024 годы</t>
  </si>
  <si>
    <t>Расходы, связанные с участием Кировского муниципального района в мероприятиях общегосударственного значения за счет средств резервного фонда администрации Кировского муниципального района</t>
  </si>
  <si>
    <t>9990010146</t>
  </si>
  <si>
    <t>Прочие организационные и представительские расходы администрации Кировского муниципального района</t>
  </si>
  <si>
    <t>9990010200</t>
  </si>
  <si>
    <t>Проведение неотложных мероприятий в целях предотвращения чрезвычайной ситуации за счет средств резервного фонда администрации Кировского муниципального района</t>
  </si>
  <si>
    <t>9990010145</t>
  </si>
  <si>
    <t>01100R3040</t>
  </si>
  <si>
    <t>0140040043</t>
  </si>
  <si>
    <t>Реализация проектов инициативного бюджетирования по направлению «Твой проект»</t>
  </si>
  <si>
    <t>Субсидии из краевого бюджета бюджетам муниципальных образований Приморского края на реализацию проектов инициативного бюджетирования по направлению «Твой проект»</t>
  </si>
  <si>
    <t>0610092360</t>
  </si>
  <si>
    <t>Расходы на реализацию проектов инициативного бюджетирования по направлению «Твой проект», в целях софинансирования которых из бюджета Приморского края предоставляются субсидии</t>
  </si>
  <si>
    <t>0610Б92360</t>
  </si>
  <si>
    <t>Государственная поддержка отрасли культуры (поддержка муниципальных учреждений культуры, находящихся на территории сельских поселений)</t>
  </si>
  <si>
    <t>Субсидии бюджетам муниципальных районов на поддержку отрасли культуры (государственная поддержка отрасли культуры (поддержка муниципальных учреждений культуры, находящихся на территории сельских поселений))</t>
  </si>
  <si>
    <t>061A255195</t>
  </si>
  <si>
    <t>Расходы на реализацию государственной поддержки отрасли культуры (поддержка муниципальных учреждений культуры, находящихся на территории сельских поселений), в целях софинансирования которых из бюджета Приморского края предоставляются субсидии</t>
  </si>
  <si>
    <t>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(школы)</t>
  </si>
  <si>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за счет средств </t>
    </r>
    <r>
      <rPr>
        <b/>
        <u/>
        <sz val="11"/>
        <rFont val="Times New Roman"/>
        <family val="1"/>
        <charset val="204"/>
      </rPr>
      <t>местного бюджета</t>
    </r>
    <r>
      <rPr>
        <sz val="11"/>
        <rFont val="Times New Roman"/>
        <family val="1"/>
        <charset val="204"/>
      </rPr>
      <t xml:space="preserve"> (школы)</t>
    </r>
  </si>
  <si>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за счет средств </t>
    </r>
    <r>
      <rPr>
        <b/>
        <u/>
        <sz val="11"/>
        <rFont val="Times New Roman"/>
        <family val="1"/>
        <charset val="204"/>
      </rPr>
      <t>краевого бюджета</t>
    </r>
    <r>
      <rPr>
        <sz val="11"/>
        <rFont val="Times New Roman"/>
        <family val="1"/>
        <charset val="204"/>
      </rPr>
      <t xml:space="preserve"> (школы)</t>
    </r>
  </si>
  <si>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t>
  </si>
  <si>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за счет средств </t>
    </r>
    <r>
      <rPr>
        <b/>
        <u/>
        <sz val="11"/>
        <rFont val="Times New Roman"/>
        <family val="1"/>
        <charset val="204"/>
      </rPr>
      <t xml:space="preserve">местного бюджета </t>
    </r>
  </si>
  <si>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за счет средств </t>
    </r>
    <r>
      <rPr>
        <b/>
        <u/>
        <sz val="11"/>
        <rFont val="Times New Roman"/>
        <family val="1"/>
        <charset val="204"/>
      </rPr>
      <t xml:space="preserve">краевого бюджета </t>
    </r>
  </si>
  <si>
    <t>Гранты в виде субсидий  на обеспечение персонифицированного финансирования дополнительного образования детей</t>
  </si>
  <si>
    <t>Подпрограмма № 8 «Молодежь Кировского района»</t>
  </si>
  <si>
    <t>Сумма 
на 2025 год</t>
  </si>
  <si>
    <t>06200R5190</t>
  </si>
  <si>
    <t>06700R2990</t>
  </si>
  <si>
    <t>Расходы на софинансирование расходных обязательств субъектов РФ, свзяаннх с реализацией ФЦП "Увековечение памяти погибших при защите Отечества на 2019-2024 годы"за счет средств местного бюджета, в целях софинансирования которых из бюджета Приморского края предоставляются субсидии</t>
  </si>
  <si>
    <t>Субсидии бюджетным учреждениям (библиотеки)</t>
  </si>
  <si>
    <t>06700L2990</t>
  </si>
  <si>
    <t>Муниципальная программа "Сохранение и развитие культуры в Кировском муниципальном районе на 2023-2027 годы"</t>
  </si>
  <si>
    <t>Муниципальная программа "Развитие физической культуры и спорта в Кировском муниципальном районе на 2023-2027 годы"</t>
  </si>
  <si>
    <t>Муниципальная программа "Профилактика безнадзорности, беспризорности и правонарушений несовершеннолетних на 2023-2027 годы"</t>
  </si>
  <si>
    <t>Муниципальная программа «Развитие образования в Кировском муниципальном районе на 2023-2027 гг.»</t>
  </si>
  <si>
    <t>Муниципальная программа «Развитие малого и среднего предпринимательства в Кировском муниципальном районе на 2023-2027 годы»</t>
  </si>
  <si>
    <t>Условно утвержденные расходы</t>
  </si>
  <si>
    <t>Общий объем на 2025 г</t>
  </si>
  <si>
    <t>1400L92620</t>
  </si>
  <si>
    <t>9990012263</t>
  </si>
  <si>
    <t>9990012261</t>
  </si>
  <si>
    <t>9990012262</t>
  </si>
  <si>
    <t>Сумма на 
2025 год</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</si>
  <si>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</si>
  <si>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Субсидии бюджетам муниципальных образований Приморского края  на приобретение музыкальных инструментов и художественного инвентаря для учреждений дополнительного образования детей в сфере культуры</t>
  </si>
  <si>
    <t>Субсидии бюджетам муниципальных образований Приморского края на комплектование книжных фондов и обеспечение информационно - техническим оборудованием библиотек</t>
  </si>
  <si>
    <t>2 02 25299 05 0000 150</t>
  </si>
  <si>
    <t>2 02 35082 05 0000 150</t>
  </si>
  <si>
    <t xml:space="preserve">Субвенции бюджетам муниципальных районов Приморского края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t>
  </si>
  <si>
    <t xml:space="preserve">Субвенции бюджетам муниципальных районов Приморского края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дополнительного образования детей в муниципальных образовательных организациях  </t>
  </si>
  <si>
    <t>Сумма на 2024 г.</t>
  </si>
  <si>
    <t>Сумма на 2025 г.</t>
  </si>
  <si>
    <t>Муниципальная программа "Противодействия коррупции в администрации Кировского муниципального района на 2023-2025 годы"</t>
  </si>
  <si>
    <t>01100S2040</t>
  </si>
  <si>
    <t>01100S2340</t>
  </si>
  <si>
    <t>040P5S2190</t>
  </si>
  <si>
    <t>040P5S2680</t>
  </si>
  <si>
    <t>06200S2540</t>
  </si>
  <si>
    <t>0670000000</t>
  </si>
  <si>
    <t>Мероприятия по направленные на софинансирование расходных обязательств субъектов РФ, свзязанных с реализацией ФЦП "Увековечение памяти погибших при защите Отечества на 2019-2024 годы"</t>
  </si>
  <si>
    <t>Муниципальная программа «Развитие и осуществление дорожной деятельности в отношении автомобильных дорог местного значения в границах Кировского муниципального района» на 2023-2027 гг.»</t>
  </si>
  <si>
    <t>Расходы по развитию спортивной инфраструктуры, находящейся в муниципальной собственности за счет средств местного бюджета, в целях софинансирования которых из бюджета Приморского края предоставляются субсидии</t>
  </si>
  <si>
    <t>Финансовое обеспечение клубных учреждений сельских поселений (Крыловское сельское поселение) (оказание услуг, выполнение работ)</t>
  </si>
  <si>
    <t>9990010210</t>
  </si>
  <si>
    <r>
      <t xml:space="preserve">Мероприятия по развитию и поддержке дошкольных образовательных учреждений </t>
    </r>
    <r>
      <rPr>
        <b/>
        <sz val="11"/>
        <rFont val="Times New Roman"/>
        <family val="1"/>
        <charset val="204"/>
      </rPr>
      <t>(наказы избирателей)</t>
    </r>
  </si>
  <si>
    <r>
      <t xml:space="preserve">Мероприятия по развитию и поддержке образовательных учреждений </t>
    </r>
    <r>
      <rPr>
        <b/>
        <sz val="11"/>
        <rFont val="Times New Roman"/>
        <family val="1"/>
        <charset val="204"/>
      </rPr>
      <t>(наказы избирателей)</t>
    </r>
  </si>
  <si>
    <t xml:space="preserve">Муниципальная программа "Поддержка социально ориентированных некоммерческих организаций Кировского муниципального района на 2022-2024 годы" </t>
  </si>
  <si>
    <t>Мероприятия по поддержке социально ориентированных некоммерческих организаций района</t>
  </si>
  <si>
    <t>1700017160</t>
  </si>
  <si>
    <t>0110092360</t>
  </si>
  <si>
    <t>01100S2360</t>
  </si>
  <si>
    <t>Муниципальная программа "Профилактика терроризма и экстремизма на территории Кировского муниципального района на 2023-2027 годы"</t>
  </si>
  <si>
    <t>2 02 45179 05 0000 150</t>
  </si>
  <si>
    <t>Межбюджетные трансферты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</si>
  <si>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011ЕВ51790</t>
  </si>
  <si>
    <t>9990010144</t>
  </si>
  <si>
    <t>Расходы на оказание единовременной материальной помощи гражданам за счет средств резервного фонда администрации Кировского муниципального района</t>
  </si>
  <si>
    <t>9990010201</t>
  </si>
  <si>
    <t>Расходы по разработке проектов, программ и сметной документации в целях развития Кировского муниципального района</t>
  </si>
  <si>
    <t>Мероприятия по развитию малого и среднего предпринимательства в Кировском муниципальном районе</t>
  </si>
  <si>
    <t>Прочие межбюджетные трансферты общего характера (дотация на сбалансированность, первоочередные расходы)</t>
  </si>
  <si>
    <t>Прочие межбюджетные трансферты общего характера (дотация на сбалансированность, выборы сельских поселений)</t>
  </si>
  <si>
    <t>06400S2480</t>
  </si>
  <si>
    <t>Субсидии бюджетным учреждениям на содержание Муниципального опорного центра дополнительного образования детей Кировского муниципального района (МБОУ ДО "ДЮСШ "Патриот" п. Кировский)</t>
  </si>
  <si>
    <t>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</si>
  <si>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Расходы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за счет средств местного бюджета, в целях софинансирования которых из бюджета Приморского края предоставляются субсидии</t>
  </si>
  <si>
    <t>Мероприятия по направленные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</si>
  <si>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9990010143</t>
  </si>
  <si>
    <t>Государственная поддержка отрасли культуры (поддержка лучших работников муниципальных учреждений культуры, находящихся на территории сельских поселений)</t>
  </si>
  <si>
    <t>Расходы на реализацию государственной поддержки отрасли культуры поддержка лучших работников муниципальных учреждений культуры, находящихся на территории сельских поселений), в целях софинансирования которых из бюджета Приморского края предоставляются субсидии</t>
  </si>
  <si>
    <t>061A255194</t>
  </si>
  <si>
    <t>Расходы на пополнение, обновление и содержание целевого резерва материальных ресурсов для предупреждения и ликвидации чрезвычайных ситуаций, являющихся таковыми в соответствии с действующим законодательством Российской Федерации</t>
  </si>
  <si>
    <t>1 13 02065 05 0000 130</t>
  </si>
  <si>
    <t>Доходы, поступающие в порядке возмещения расходов, понесенных в связи с эксплуатацией имущества муниципальных районов</t>
  </si>
  <si>
    <t xml:space="preserve">Мероприятия по развитию физкультуры и спорта (субсидии бюджетным учреждениям (МБОУ ДО "ДЮСШ "Патриот" п. Кировский) </t>
  </si>
  <si>
    <r>
      <t xml:space="preserve">Мероприятия по развитию и поддержке образовательных учреждений </t>
    </r>
    <r>
      <rPr>
        <b/>
        <i/>
        <sz val="11"/>
        <rFont val="Times New Roman"/>
        <family val="1"/>
        <charset val="204"/>
      </rPr>
      <t>(местный  бюджет)</t>
    </r>
  </si>
  <si>
    <r>
      <t xml:space="preserve">Мероприятия по развитию и поддержке образовательных учреждений </t>
    </r>
    <r>
      <rPr>
        <b/>
        <i/>
        <sz val="11"/>
        <rFont val="Times New Roman"/>
        <family val="1"/>
        <charset val="204"/>
      </rPr>
      <t>(краевой бюджет)</t>
    </r>
  </si>
  <si>
    <r>
      <t xml:space="preserve">Мероприятия по развитию и поддержке дошкольных образовательных учреждений </t>
    </r>
    <r>
      <rPr>
        <b/>
        <sz val="11"/>
        <rFont val="Times New Roman"/>
        <family val="1"/>
        <charset val="204"/>
      </rPr>
      <t>(местный бюджет)</t>
    </r>
  </si>
  <si>
    <r>
      <t xml:space="preserve">Мероприятия по развитию и поддержке дошкольных образовательных учреждений </t>
    </r>
    <r>
      <rPr>
        <b/>
        <sz val="11"/>
        <rFont val="Times New Roman"/>
        <family val="1"/>
        <charset val="204"/>
      </rPr>
      <t>(краевой бюджет)</t>
    </r>
  </si>
  <si>
    <r>
      <t xml:space="preserve">Мероприятия по развитию и поддержке учреждений дополнительного образования </t>
    </r>
    <r>
      <rPr>
        <b/>
        <sz val="11"/>
        <rFont val="Times New Roman"/>
        <family val="1"/>
        <charset val="204"/>
      </rPr>
      <t>(местный бюджет</t>
    </r>
    <r>
      <rPr>
        <sz val="11"/>
        <rFont val="Times New Roman"/>
        <family val="1"/>
        <charset val="204"/>
      </rPr>
      <t>)</t>
    </r>
  </si>
  <si>
    <r>
      <t xml:space="preserve">Мероприятия по развитию и поддержке учреждений дополнительного образования </t>
    </r>
    <r>
      <rPr>
        <b/>
        <sz val="11"/>
        <rFont val="Times New Roman"/>
        <family val="1"/>
        <charset val="204"/>
      </rPr>
      <t>(краевой бюджет)</t>
    </r>
  </si>
  <si>
    <t xml:space="preserve">Мероприятия по развитию и поддержке учреждений дополнительного образования </t>
  </si>
  <si>
    <t>1100011164</t>
  </si>
  <si>
    <t>Мероприятия в сфере повышения энергетической эффективности (Субсидии бюджетным учреждениям (МБУ ДО «КДШИ»)</t>
  </si>
  <si>
    <t xml:space="preserve">Расходы  на мероприятия направленные на исковые требования </t>
  </si>
  <si>
    <t xml:space="preserve">Муниципальная программа "Обеспечение жильем молодых семей  Кировского муниципального района на 2023-2027 годы" </t>
  </si>
  <si>
    <t>1800000000</t>
  </si>
  <si>
    <t>18000L4970</t>
  </si>
  <si>
    <t>Мероприятия по развитию и поддержке учреждений дополнительного образования (краевой бюджет)</t>
  </si>
  <si>
    <t>0680020045</t>
  </si>
  <si>
    <t>9990010031</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</si>
  <si>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</si>
  <si>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Сумма на 
2026 год</t>
  </si>
  <si>
    <t>2 02 25497 05 0000 150</t>
  </si>
  <si>
    <t>Субсидии бюджетам муниципальных районов на реализацию мероприятий по обеспечению жильем молодых семей</t>
  </si>
  <si>
    <t>2 02 25519 05 0000 150</t>
  </si>
  <si>
    <t>Субсидии бюджетам субъектов муниципальных образований на 
государственную поддержку отрасли культуры (модернизация библиотек в части комплектования книжных фондов бибилтотек муниципальных образований и государственных общедоступных библиотек)</t>
  </si>
  <si>
    <t>Субсидии бюджетам субъектов муниципальных образований на 
благоустройство территорий, прилегающих к местам туристического показа</t>
  </si>
  <si>
    <t>Субсидии бюджетам субъектов муниципальных образований на 
организацию транспортного обслуживания населения в границах муниципальных образований Приморского края</t>
  </si>
  <si>
    <t>Субсидии бюджетам субъектов муниципальных образований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Приморского края</t>
  </si>
  <si>
    <t>Субсидии бюджетам муниципальных образований Приморского края  на обеспечение развития и укрепления материально-технической базы муниципальных домов культуры</t>
  </si>
  <si>
    <t>Субсидии бюджетам субъектов муниципальных образований на 
обепечение граждан твердым топливом</t>
  </si>
  <si>
    <t>Субвенции бюджетам муниципальных районов Приморского края  на организацию и обеспечение оздоровления и отдыха детей (за исключением организации и обеспечение оздоровления и отдыха детей в каникулярное время)</t>
  </si>
  <si>
    <t>Субвенции  бюджетам муниципальных районов Приморского края на осуществление отдельных государственных полномочий по обеспечению бесплатным питанием детей, обучающихся в муниципальных образовательных организациях Приморского края</t>
  </si>
  <si>
    <t>Субвенции бюджетам муниципальных районов на реализацию отдельных государственных полномочий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t>
  </si>
  <si>
    <t>Субвенции бюджетам муниципальных образований Приморского края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</si>
  <si>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</si>
  <si>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Объемы доходов районного бюджета на 2024 год и плановый период 2025 и 2026 годов</t>
  </si>
  <si>
    <t>Сумма на 2026 г.</t>
  </si>
  <si>
    <t>Распределение бюджетных ассигнований из районного бюджета на 2024-2026 года по муниципальным программам Кировского  муниципального района и непрограммным направлениям деятельности</t>
  </si>
  <si>
    <t>Сумма 
на 2026 год</t>
  </si>
  <si>
    <t>Общий объем на 2026 г</t>
  </si>
  <si>
    <t>18000R4970</t>
  </si>
  <si>
    <t>Благоустройство территорий, прилегающих к местам туристского показа</t>
  </si>
  <si>
    <t>9990092170</t>
  </si>
  <si>
    <t>99900S2170</t>
  </si>
  <si>
    <r>
      <t xml:space="preserve">Субвенции бюджетам муниципальных образований Приморского края на реализацию полномочий Российской Федерации на государственную регистрацию актов гражданского состояния </t>
    </r>
    <r>
      <rPr>
        <b/>
        <u/>
        <sz val="12"/>
        <rFont val="Times New Roman"/>
        <family val="1"/>
        <charset val="204"/>
      </rPr>
      <t>за счет средств краевого бюджета</t>
    </r>
  </si>
  <si>
    <t>Источники внутреннего финансирования дефицита районного бюджета на 2024-2026 годы</t>
  </si>
  <si>
    <t>Приложение  № 3</t>
  </si>
  <si>
    <t>подразделам, целевым статьям и видам расходов в соответствии с классификацией расходов</t>
  </si>
  <si>
    <t>ОБЩЕГОСУДАРСТВЕННЫЕ ВОПРОСЫ</t>
  </si>
  <si>
    <t>0000000000</t>
  </si>
  <si>
    <t>Функционирование высшего должностного лица субъекта Российской Федерации и муниципального образования</t>
  </si>
  <si>
    <t>02</t>
  </si>
  <si>
    <t>Непрограммные направления деятельности органов местного самоуправления</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</si>
  <si>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</si>
  <si>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</si>
  <si>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Расходы на выплаты персоналу государственных (муниципальных) органов</t>
  </si>
  <si>
    <t>120</t>
  </si>
  <si>
    <t>Функционирование законодательных (представительных) органов государственной власти и представительных органов муниципальных образований</t>
  </si>
  <si>
    <t>Председатель Думы Кировского муниципального района</t>
  </si>
  <si>
    <t>Закупка товаров, работ и услуг для государственных (муниципальных) нужд</t>
  </si>
  <si>
    <t>200</t>
  </si>
  <si>
    <t>Иные закупки товаров, работ и услуг для обеспечения государственных (муниципальных) нужд</t>
  </si>
  <si>
    <t>240</t>
  </si>
  <si>
    <t>Иные бюджетные ассигнования</t>
  </si>
  <si>
    <t>800</t>
  </si>
  <si>
    <t>Уплата налогов, сборов и иных платежей</t>
  </si>
  <si>
    <t>850</t>
  </si>
  <si>
    <t>Функционирование Правительства Российской Федерации, высших исполнительных органов государственной власти субъектов Российской Федерации,      и органов местного самоуправления</t>
  </si>
  <si>
    <t>05</t>
  </si>
  <si>
    <t>Обеспечение деятельности финансовых, налоговых и таможенных органов и органов финансового (финансово-бюджетного) надзора</t>
  </si>
  <si>
    <t>06</t>
  </si>
  <si>
    <t>Руководство и управление в сфере установленных функций  органов местного самоуправления  (ФУ)</t>
  </si>
  <si>
    <t>Руководство и управление в сфере установленных функций органов местного самоуправления (КСК)</t>
  </si>
  <si>
    <t>Председатель контрольно-счетной комиссии</t>
  </si>
  <si>
    <t>Резервные фонды</t>
  </si>
  <si>
    <t>11</t>
  </si>
  <si>
    <t>0000000</t>
  </si>
  <si>
    <t>Резервный фонд Администрации Кировского муниципального района</t>
  </si>
  <si>
    <t>9900004</t>
  </si>
  <si>
    <t>Резервные средства</t>
  </si>
  <si>
    <t>870</t>
  </si>
  <si>
    <t>Обеспечение проведения выборов и референдумов</t>
  </si>
  <si>
    <t>Непрограммные направления деятельности муниципальных органов</t>
  </si>
  <si>
    <t>Специальные расходы</t>
  </si>
  <si>
    <t>880</t>
  </si>
  <si>
    <t>Другие общегосударственные вопросы</t>
  </si>
  <si>
    <t>13</t>
  </si>
  <si>
    <t>Субвенции</t>
  </si>
  <si>
    <t>Субвенции на выполнение органами местного самоуправления отдельных государственных полномочий по государственному управлению охраной труда</t>
  </si>
  <si>
    <t>Субвенции на создание и обеспечение деятельности комиссий по делам несовершеннолетних и защите их прав</t>
  </si>
  <si>
    <t>Субвенции на реализацию отдельных государственных полномочий по созданию административных комиссий</t>
  </si>
  <si>
    <t>Осуществление переданных органам государственной власти субъектов РФ в соответствии с п.1 ст.4 ФЗ от 15.11.1997 г. № 143-ФЗ "Об актах гражданского состояния" полномочий РФ по государственной регистрации актов гражданского состояния</t>
  </si>
  <si>
    <t>9999959300</t>
  </si>
  <si>
    <t xml:space="preserve">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
</t>
  </si>
  <si>
    <t>9999993180</t>
  </si>
  <si>
    <t>Мунипальная программа "Развитие МФЦ предоставления государственных и муниципальных услуг населению Кировского муниципального района Приморского края на 2016-2018 годы"</t>
  </si>
  <si>
    <t>Субсидии из местного бюджета на содержание многофункциональных центров предоставления государственных и муниципальных услуг</t>
  </si>
  <si>
    <t>600</t>
  </si>
  <si>
    <t>Предоставление субсидий бюджетным, автономным учреждениям и иным некоммерческим организациям</t>
  </si>
  <si>
    <t>Субсидии автономным учреждениям</t>
  </si>
  <si>
    <t>620</t>
  </si>
  <si>
    <t>Субсидии из краевого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t>
  </si>
  <si>
    <t>Руководство и управление в сфере установленных функций органов местного самоуправления  (УМСАиПЭ)</t>
  </si>
  <si>
    <t>Исполнение судебных актов</t>
  </si>
  <si>
    <t>830</t>
  </si>
  <si>
    <t xml:space="preserve">Оценка недвижимости, признание прав и регулирование отношений по государственной и муниципальной собственности </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</si>
  <si>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t>
  </si>
  <si>
    <t>Муниципальная программа "Развитие образования в Кировском муниципальном районе на 2023-2027 годы"</t>
  </si>
  <si>
    <t>Подпрограмма № 8 «Молодежь Кировского района"</t>
  </si>
  <si>
    <t>0180020040</t>
  </si>
  <si>
    <t>Мероприятия по строительству, реконструкции и приобретению зданий муниципальных общеобразовательных организаций</t>
  </si>
  <si>
    <r>
      <t xml:space="preserve">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t>
    </r>
    <r>
      <rPr>
        <b/>
        <sz val="12"/>
        <rFont val="Times New Roman"/>
        <family val="1"/>
        <charset val="204"/>
      </rPr>
      <t>(краевой бюджет)</t>
    </r>
  </si>
  <si>
    <t>Капитальные вложения в объекты государственной (муниципальной собственности)</t>
  </si>
  <si>
    <t>400</t>
  </si>
  <si>
    <t>Бюджетные инвестиции</t>
  </si>
  <si>
    <t>410</t>
  </si>
  <si>
    <r>
      <t xml:space="preserve">Расходы на строительство, реконструкцию и приобретение зданий муниципальных общеобразовательных организаций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</si>
  <si>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Подпрограмма № 9 "Предупреждение развития наркомании в районе"</t>
  </si>
  <si>
    <t>0300030360</t>
  </si>
  <si>
    <t>Муниципальная программа " Доступная среда для инвалидов в Кировском муниципальном районе на 2016-2019 годы"</t>
  </si>
  <si>
    <t>0700020270</t>
  </si>
  <si>
    <t xml:space="preserve">Мероприятия по противодействию коррупции </t>
  </si>
  <si>
    <t>НАЦИОНАЛЬНАЯ ОБОРОНА</t>
  </si>
  <si>
    <t>Мобилизационная и вневойсковая подготовка</t>
  </si>
  <si>
    <t>Муниципальная программа "Совершенствование межбюджетных отношений и управление муниципальным долгом в Кировском муниципальном районе на 2019-2021 годы"</t>
  </si>
  <si>
    <t>Субвенции на осуществление первичного воинского учета на территориях, где отсутствуют военные комиссариаты</t>
  </si>
  <si>
    <t>Межбюджетные трансферты</t>
  </si>
  <si>
    <t>500</t>
  </si>
  <si>
    <t>530</t>
  </si>
  <si>
    <t>НАЦИОНАЛЬНАЯ БЕЗОПАСНОСТЬ И ПРАВООХРАНИТЕЛЬНАЯ ДЕЯТЕЛЬНОСТЬ</t>
  </si>
  <si>
    <t>09</t>
  </si>
  <si>
    <t>Мероприятия по предупреждению и ликвидации последствий черезвычайных ситуаций и стихийных бедствий</t>
  </si>
  <si>
    <t xml:space="preserve">Содействие в подготовке проведения общероссийского  голосования, а также в информировании граждан Российской Федерации о такой подготовке  (иные межбюджетные трансферты за счет бюджета Приморского края) </t>
  </si>
  <si>
    <t>999W994020</t>
  </si>
  <si>
    <t xml:space="preserve">Содействие в подготовке проведения общероссийского  голосования, а также в информировании граждан Российской Федерации о такой подготовке (местный бюджет) </t>
  </si>
  <si>
    <t>999W910170</t>
  </si>
  <si>
    <t>1700000000</t>
  </si>
  <si>
    <t>НАЦИОНАЛЬНАЯ ЭКОНОМИКА</t>
  </si>
  <si>
    <t>Сельское хозяйство и рыболовство</t>
  </si>
  <si>
    <t>Субвенции бюджетам муниципальных образований Приморского края на осуществление отдельных государственных полномочий Приморского края по организации мероприятий при осуществлении деятельности по обращению с животными без владельцев</t>
  </si>
  <si>
    <t>Транспорт</t>
  </si>
  <si>
    <t>08</t>
  </si>
  <si>
    <t>Другие виды транспорта</t>
  </si>
  <si>
    <t>810</t>
  </si>
  <si>
    <t>540</t>
  </si>
  <si>
    <t xml:space="preserve">Субвенции бюджетам муниципальных районов Приморского края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 </t>
  </si>
  <si>
    <t>999000080</t>
  </si>
  <si>
    <t>Субсидии на проведение отдельных мероприятий по другим видам транспорта</t>
  </si>
  <si>
    <t>Дорожное хозяйство (дорожные фонды)</t>
  </si>
  <si>
    <t>Капитальный ремонт и ремонт автомобильных дорог общего пользования населенных пунктов</t>
  </si>
  <si>
    <t>Другие вопросы в области национальной экономики</t>
  </si>
  <si>
    <t>12</t>
  </si>
  <si>
    <t>Муниципальная программа "Развитие малого и среднего предпринимательства в Кировском муниципальном районе на 2023-2027 годы"</t>
  </si>
  <si>
    <t>Поддержка субъектов малого и среднего предпринимательства</t>
  </si>
  <si>
    <t>Субсидии юридическим лицам (кроме некоммерческих организаций), индивидуальным предпринимателям, физическим лицам</t>
  </si>
  <si>
    <t>ЖИЛИЩНО-КОММУНАЛЬНОЕ ХОЗЯЙСТВО</t>
  </si>
  <si>
    <t>Коммунальное хозяйство</t>
  </si>
  <si>
    <t>Поддержка коммунального хозяйства</t>
  </si>
  <si>
    <t>Муниципальная программа "Организация обеспечения  твердым топливом населения, проживающего на территории сельских поселений Кировского муниципального района" на 2019 – 2021 годы</t>
  </si>
  <si>
    <t>Возмещение затрат или недополученных доходов от обеспечения граждан твердым топливом в границах Кировского  муниципального района</t>
  </si>
  <si>
    <r>
      <t xml:space="preserve">Субсидии юридическим лицам (кроме некоммерческих организаций), индивидуальным предпринимателям </t>
    </r>
    <r>
      <rPr>
        <b/>
        <sz val="12"/>
        <rFont val="Times New Roman"/>
        <family val="1"/>
        <charset val="204"/>
      </rPr>
      <t>(краевой бюджет)</t>
    </r>
  </si>
  <si>
    <r>
      <t xml:space="preserve">Субсидии юридическим лицам (кроме некоммерческих организаций), индивидуальным предпринимателям </t>
    </r>
    <r>
      <rPr>
        <b/>
        <sz val="12"/>
        <rFont val="Times New Roman"/>
        <family val="1"/>
        <charset val="204"/>
      </rPr>
      <t>(местный бюджет)</t>
    </r>
  </si>
  <si>
    <t>Муниципальная программа "Энергосбережение и повышение энергетической эффективности в муниципальных учреждениях Кировского муниципального района" на 2022-2026 годы"</t>
  </si>
  <si>
    <t>Благоустройство</t>
  </si>
  <si>
    <t>Другие вопросы в области жилищно-коммунального хозяйства</t>
  </si>
  <si>
    <t>Руководство и управление в сфере установленных функций органов государственной власти Приморского края</t>
  </si>
  <si>
    <t>Субвенции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</si>
  <si>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 xml:space="preserve">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</si>
  <si>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ОХРАНА ОКРУЖАЮЩЕЙ СРЕДЫ</t>
  </si>
  <si>
    <t>Другие вопросы в области охраны окружающей среды</t>
  </si>
  <si>
    <t>Мероприятия в области охраны окружающей среды</t>
  </si>
  <si>
    <t>ОБРАЗОВАНИЕ</t>
  </si>
  <si>
    <t>Дошкольное образование</t>
  </si>
  <si>
    <t>Подпрограмма  № 2 "Развитие дошкольного образования в Кировском муниципальном районе"</t>
  </si>
  <si>
    <t>0120020040</t>
  </si>
  <si>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за счет средств местного бюджета </t>
  </si>
  <si>
    <t>Мероприятия по развитию и поддержке дошкольных образовательных учреждений (НАКАЗЫ ИЗБИРАТЕЛЕЙ)</t>
  </si>
  <si>
    <t xml:space="preserve">Непрограммные направления деятельности </t>
  </si>
  <si>
    <t>Погашение кредиторской задолженности прошлых лет (САДЫ)</t>
  </si>
  <si>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</si>
  <si>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Непрограммные направления деятельности органов местного самоуправления (дошкольное образование)</t>
  </si>
  <si>
    <t>Предоставление субсидий бюджетным, автономным учреждениям и иным некоммерческим организациям (ВЫПОЛНЕНИЕ НАКАЗОВ ИЗБИРАТЕЛЕЙ)</t>
  </si>
  <si>
    <t>Общее образование</t>
  </si>
  <si>
    <t>Подпрограмма № 1 "Развитие и поддержка муниципальных образовательных учреждений"</t>
  </si>
  <si>
    <t>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за счет средств местного бюджета (школы)</t>
  </si>
  <si>
    <t>Мероприятия по развитию и поддержке образовательных учреждений (НАКАЗЫ ИЗБИРАТЕЛЕЙ)</t>
  </si>
  <si>
    <t>Подпрограмма  № 3 "Безопасность образовательных учреждений"</t>
  </si>
  <si>
    <t>0130020040</t>
  </si>
  <si>
    <t>Подпрограмма  № 4 "Развитие внешкольного образования"</t>
  </si>
  <si>
    <t>Субсидии бюджетным учреждениям образования</t>
  </si>
  <si>
    <t>0140020040</t>
  </si>
  <si>
    <t>Субсидии бюджетным учреждениям (МБУ ДОД "ДЮЦ")</t>
  </si>
  <si>
    <t>Субсидии бюджетным учреждениям (МБУ ВПЦ "Патриот")</t>
  </si>
  <si>
    <t>Субсидии бюджетным учреждениям-МБУ  ДОД  "КДШИ"</t>
  </si>
  <si>
    <t>Субсидии бюджетным учреждениям-МБУ  ДОД  "ГДШИ"</t>
  </si>
  <si>
    <t>Муниципальная программа "Развитие образования в Кировском муниципальном районе на 2023-2027  годы"</t>
  </si>
  <si>
    <t>Субвенции  на обеспечение   бесплатным питанием детей, обучающихся муниципальных общеобразовательных учреждениях</t>
  </si>
  <si>
    <t>Субвенции на реализацию дошкольного, общего и дополнительного образования в муниципальных общеобразовательных учреждениях по основным общеобразовательным программам</t>
  </si>
  <si>
    <t>Дополнительное образование</t>
  </si>
  <si>
    <t>Обеспечение персонифицированного финансирования дополнительного образования детей (МБОУ ДО "ДЮЦ")</t>
  </si>
  <si>
    <t>Обеспечение персонифицированного финансирования дополнительного образования детей (МБОУ ДО "ДЮСШ "Патриот" п. Кировский)</t>
  </si>
  <si>
    <t>Финансовое обеспечение на выполнение муниципального задания "МБУ ДО ГДШИ"</t>
  </si>
  <si>
    <r>
      <t>Субсидии бюджетам муниципальных образований на  приобретение музыкальных инструментов и художественного инвентаря для учреждений дополнительного образования детей в сфере культуры (</t>
    </r>
    <r>
      <rPr>
        <b/>
        <sz val="12"/>
        <rFont val="Times New Roman"/>
        <family val="1"/>
        <charset val="204"/>
      </rPr>
      <t>краевой бюджет)</t>
    </r>
  </si>
  <si>
    <r>
      <t xml:space="preserve">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</si>
  <si>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 xml:space="preserve">Мероприятия в сфере повышения энергетической эффективности </t>
  </si>
  <si>
    <t>(Субсидии бюджетным учреждениям (МБУ ДО «КДШИ»)</t>
  </si>
  <si>
    <t>0140020050</t>
  </si>
  <si>
    <t xml:space="preserve">Погашение кредиторской задолженности прошлых лет </t>
  </si>
  <si>
    <t>0140020051</t>
  </si>
  <si>
    <t>0140020052</t>
  </si>
  <si>
    <t>0140020053</t>
  </si>
  <si>
    <t>Муниципальная программа "Профилактика терроризма и экстремизма в Кировском муниципальном районе на 2023-2027 годы"</t>
  </si>
  <si>
    <t>Подпрограмма  № 5 "Переподготовка и повышение квалификации"</t>
  </si>
  <si>
    <t>Мероприятия по переподготовке и повышению квалификации</t>
  </si>
  <si>
    <t>Молодежная политика</t>
  </si>
  <si>
    <t>Социальное обеспечение и иные выплаты населению</t>
  </si>
  <si>
    <t>300</t>
  </si>
  <si>
    <r>
      <t>Субсидии бюджетам муниципальных образований на  капитальный ремонт оздоровительных лагерей, находящихся в собственности муниципальных образований (</t>
    </r>
    <r>
      <rPr>
        <b/>
        <sz val="12"/>
        <rFont val="Times New Roman"/>
        <family val="1"/>
        <charset val="204"/>
      </rPr>
      <t>краевой бюджет)</t>
    </r>
  </si>
  <si>
    <t>0140092030</t>
  </si>
  <si>
    <r>
      <t xml:space="preserve">Расходы на  капитальный ремонт оздоровительных лагерей, находящихся в собственности муниципальных образований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</si>
  <si>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0140Б92030</t>
  </si>
  <si>
    <t>Другие вопросы в области образования</t>
  </si>
  <si>
    <t>Подпрограмма  № 7 "Другие вопросы в области образования"</t>
  </si>
  <si>
    <t>Расходы на обеспечение деятельности (оказание услуг, выполнение работ) централизованных бухгалтерий</t>
  </si>
  <si>
    <t>Расходы на выплаты персоналу казенных учреждений</t>
  </si>
  <si>
    <t>110</t>
  </si>
  <si>
    <t>0200020260</t>
  </si>
  <si>
    <r>
      <t xml:space="preserve">Иные закупки товаров, работ и услуг для обеспечения государственных (муниципальных) нужд </t>
    </r>
    <r>
      <rPr>
        <b/>
        <sz val="12"/>
        <rFont val="Times New Roman"/>
        <family val="1"/>
        <charset val="204"/>
      </rPr>
      <t>(отдел образования администрации КМР)</t>
    </r>
  </si>
  <si>
    <r>
      <t xml:space="preserve">Иные закупки товаров, работ и услуг для обеспечения государственных (муниципальных) нужд </t>
    </r>
    <r>
      <rPr>
        <b/>
        <sz val="12"/>
        <rFont val="Times New Roman"/>
        <family val="1"/>
        <charset val="204"/>
      </rPr>
      <t>(МКУ "ЦОМОУ")</t>
    </r>
  </si>
  <si>
    <t>1600000000</t>
  </si>
  <si>
    <t xml:space="preserve">Субвенции бюджетам муниципальных районов Приморского края на реализацию государственных полномочий органов опеки и попечительства в отношении несовершеннолетних </t>
  </si>
  <si>
    <t>КУЛЬТУРА, КИНЕМАТОГРАФИЯ</t>
  </si>
  <si>
    <t>Культура</t>
  </si>
  <si>
    <t>Муниципальная программа "Сохранение и развитие культуры в Кировском муниципальном районе на 2023-2027  годы"</t>
  </si>
  <si>
    <t>Иные 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(организация досуга и обеспечения услугами культуры)</t>
  </si>
  <si>
    <r>
      <t xml:space="preserve">Расходы на обеспечение развития и укрепления материально-технической базы домов культуры в населенных пунктах с числом жителей до 50 тыс. человек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</si>
  <si>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t>Мероприятия направленные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</si>
  <si>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0620005190</t>
  </si>
  <si>
    <r>
      <t xml:space="preserve">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t>
    </r>
    <r>
      <rPr>
        <b/>
        <sz val="12"/>
        <rFont val="Times New Roman"/>
        <family val="1"/>
        <charset val="204"/>
      </rPr>
      <t>(краевой бюджет)</t>
    </r>
  </si>
  <si>
    <r>
      <t>Расходы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за счет средств</t>
    </r>
    <r>
      <rPr>
        <b/>
        <sz val="12"/>
        <rFont val="Times New Roman"/>
        <family val="1"/>
        <charset val="204"/>
      </rPr>
      <t xml:space="preserve"> местного бюджета</t>
    </r>
    <r>
      <rPr>
        <sz val="12"/>
        <rFont val="Times New Roman"/>
        <family val="1"/>
        <charset val="204"/>
      </rPr>
      <t>, в целях софинансирования которых из бюджета Приморского края предоставляются субсидии</t>
    </r>
  </si>
  <si>
    <r>
      <t xml:space="preserve">Субсидии бюджетам муниципальных образований на комплектование книжных фондов и обеспечение информационно- техническим оборудованием библиотек </t>
    </r>
    <r>
      <rPr>
        <b/>
        <sz val="12"/>
        <rFont val="Times New Roman"/>
        <family val="1"/>
        <charset val="204"/>
      </rPr>
      <t>(краевой бюджет)</t>
    </r>
  </si>
  <si>
    <r>
      <t xml:space="preserve">Расходы на комплектование книжных фондов и обеспечение информационно- техническим оборудованием библиотек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</si>
  <si>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Мероприятия по обеспечению развития и укрепления материально-технической базы муниципальных домов культуры</t>
  </si>
  <si>
    <t>Субсидии бюджетам муниципальных образований Приморского края на обеспечение развития и укрепления материально-технической базы муниципальных домов культуры</t>
  </si>
  <si>
    <t>0610L92360</t>
  </si>
  <si>
    <t>00000000000</t>
  </si>
  <si>
    <t>Субсидии бюджетам муниципальных районов на поддержку отрасли культуры ((поддержка лучших работников муниципальных учреждений культуры, находящихся на территории сельских поселений)</t>
  </si>
  <si>
    <t>Расходы на реализацию государственной поддержки отрасли культуры ((поддержка лучших работников муниципальных учреждений культуры, находящихся на территории сельских поселений), в целях софинансирования которых из бюджета Приморского края предоставляются субсидии</t>
  </si>
  <si>
    <t>Другие вопросы в области культуры, кинематографии</t>
  </si>
  <si>
    <t>Финансовое обеспечение (бухгалтерский учет) МБУ КДЦ Кировского муниципального района</t>
  </si>
  <si>
    <t>0670002990</t>
  </si>
  <si>
    <t>Финансовое обеспечение на выполнение муниципального задания МБУ ДО КДШИ</t>
  </si>
  <si>
    <t>Подпрограмма   № 8 "Молодежь Кировского района"</t>
  </si>
  <si>
    <t>Муниципальная программа "Сохранение и развитие культуры в Кировском муниципальном районе на 2018-2022  годы"</t>
  </si>
  <si>
    <t>ЗДРАВООХРАНЕНИЕ</t>
  </si>
  <si>
    <t>Другие вопросы в области здравоохранения</t>
  </si>
  <si>
    <t>Муниципальная программа " Укрепление общественного здоровья" на 2021-2024 годы</t>
  </si>
  <si>
    <t>1600014410</t>
  </si>
  <si>
    <t>СОЦИАЛЬНАЯ ПОЛИТИКА</t>
  </si>
  <si>
    <t>Доплата к пенсиям, дополнительное пенсионное обеспечение</t>
  </si>
  <si>
    <t>Доплаты к пенсиям государственных служащих субъектов Российской Федерации и муниципальных служащих</t>
  </si>
  <si>
    <t>320</t>
  </si>
  <si>
    <t xml:space="preserve">Муниципальная программа "Комплексное развитие сельских территорий" в Кировском муниципальном районе на 2021-2027 годы </t>
  </si>
  <si>
    <t xml:space="preserve">Субвенции бюджетам муниципальных образований Приморского края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</si>
  <si>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</si>
  <si>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Подпрограмма № 1 "Развитие и поддержка муниципальных образовательных учреждений" образования"</t>
  </si>
  <si>
    <t>Субвенции  бюджетам муниципальных районов Приморского края на осуществление отдельных государственных полномочий по обеспечению   бесплатным питанием детей, обучающихся в муниципальных образовательных организациях Приморского края</t>
  </si>
  <si>
    <t>Подпрограмма   № 2 "Развитие дошкольных образовательных учреждений"</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</si>
  <si>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федерального бюджета</t>
  </si>
  <si>
    <t>ФИЗИЧЕСКАЯ КУЛЬТУРА И СПОРТ</t>
  </si>
  <si>
    <t>Массовый спорт</t>
  </si>
  <si>
    <t xml:space="preserve">Мероприятия по развитию физической культуры и спорта </t>
  </si>
  <si>
    <r>
      <t xml:space="preserve">Субсидии бюджетам муниципальных образований Приморского края на развитие спортивной инфраструктуры, находящейся в муниципальной собственности </t>
    </r>
    <r>
      <rPr>
        <b/>
        <i/>
        <sz val="12"/>
        <rFont val="Times New Roman"/>
        <family val="1"/>
        <charset val="204"/>
      </rPr>
      <t>(краевой бюджет)</t>
    </r>
  </si>
  <si>
    <r>
      <t xml:space="preserve">Иные закупки товаров, работ и услуг для обеспечения государственных (муниципальных) нужд </t>
    </r>
    <r>
      <rPr>
        <b/>
        <sz val="12"/>
        <rFont val="Times New Roman"/>
        <family val="1"/>
        <charset val="204"/>
      </rPr>
      <t>(администрация КМР)</t>
    </r>
  </si>
  <si>
    <t xml:space="preserve">Предоставление субсидий бюджетным, автономным учреждениям и иным некоммерческим организациям </t>
  </si>
  <si>
    <r>
      <t xml:space="preserve">Расходы на развитие спортивной инфраструктуры, находящейся в муниципальной собственности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</si>
  <si>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r>
      <t xml:space="preserve">Расходы по развитию спортивной инфраструктуры, находящейся в муниципальной собственности </t>
    </r>
    <r>
      <rPr>
        <i/>
        <sz val="12"/>
        <rFont val="Times New Roman"/>
        <family val="1"/>
        <charset val="204"/>
      </rPr>
      <t>за счет средств 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</si>
  <si>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Капитальные вложения в объекты государственной (муниципальной) собственности</t>
  </si>
  <si>
    <t>Мероприятия по оснащению объектов спортивной инфраструктуры спортивно-технологическим оборудованием</t>
  </si>
  <si>
    <r>
      <t xml:space="preserve">Субсидии из краевого бюджета бюджетам муниципальных образований Приморского края на оснащение объектов спортивной инфраструктуры спортивно-технологическим оборудованием </t>
    </r>
    <r>
      <rPr>
        <b/>
        <i/>
        <sz val="12"/>
        <rFont val="Times New Roman"/>
        <family val="1"/>
        <charset val="204"/>
      </rPr>
      <t>(краевой бюджет)</t>
    </r>
  </si>
  <si>
    <r>
      <t xml:space="preserve">Расходы по приобретению и поставке спортивного инвентаря, спортивного оборудования и иного имущества для развития массового спорта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</si>
  <si>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t>041P5S2230</t>
  </si>
  <si>
    <t>Субсидии бюджетам муниципальных образований Приморского края на приобретение ледозаливочной техники</t>
  </si>
  <si>
    <t>040P592680</t>
  </si>
  <si>
    <r>
      <t xml:space="preserve">Субсидии бюджетам муниципальных образований Приморского края на организацию физкультурно-спортивной работы по месту жительства </t>
    </r>
    <r>
      <rPr>
        <b/>
        <i/>
        <sz val="12"/>
        <rFont val="Times New Roman"/>
        <family val="1"/>
        <charset val="204"/>
      </rPr>
      <t>(краевой бюджет)</t>
    </r>
  </si>
  <si>
    <r>
      <t xml:space="preserve">Расходы на организацию физкультурно-спортивной работы по месту жительства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</si>
  <si>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t>Мероприятия по приобретению и поставке спортивного инвентаря, спортивного оборудования и иного имущества для развития лыжного спорта</t>
  </si>
  <si>
    <r>
      <t>Субсидии бюджетам муниципальных образований Приморского края на приобретение и поставку спортивного инвентаря, спортивного оборудования и иного имущества для развития лыжного спорта</t>
    </r>
    <r>
      <rPr>
        <b/>
        <i/>
        <sz val="12"/>
        <rFont val="Times New Roman"/>
        <family val="1"/>
        <charset val="204"/>
      </rPr>
      <t>(краевой бюджет)</t>
    </r>
  </si>
  <si>
    <t>040P592180</t>
  </si>
  <si>
    <t>Расходы на приобретение и поставку спортивного инвентаря, спортивного оборудования и иного имущества для развития лыжного спорта за счет средств местного бюджета, в целях софинансирования которых из бюджета Приморского края предоставляются субсидии</t>
  </si>
  <si>
    <t>040P592181</t>
  </si>
  <si>
    <t>ОБСЛУЖИВАНИЕ ГОСУДАРСТВЕННОГО И МУНИЦИПАЛЬНОГО ДОЛГА</t>
  </si>
  <si>
    <t>Обслуживание государственного внутреннего и муниципального долга</t>
  </si>
  <si>
    <t>Процентные платежи по долговым обязательствам</t>
  </si>
  <si>
    <t>Процентные платежи по муниципальному долгу</t>
  </si>
  <si>
    <t>700</t>
  </si>
  <si>
    <t>730</t>
  </si>
  <si>
    <t>МЕЖБЮДЖЕТНЫЕ ТРАНСФЕРТЫ ОБЩЕГО ХАРАКТЕРА БЮДЖЕТАМ СУБЪЕКТОВ РОССИЙСКОЙ ФЕДЕРАЦИИ И МУНИЦИПАЛЬНЫХ ОБРАЗОВАНИЙ</t>
  </si>
  <si>
    <t>14</t>
  </si>
  <si>
    <t>Дотации на выравнивание бюджетной обеспеченности субъектов Российской Федерации и муниципальных образований</t>
  </si>
  <si>
    <t>Дотации на выравнивание бюджетной обеспеченности поселений из районного фонда финансовой поддержки</t>
  </si>
  <si>
    <t>Дотации</t>
  </si>
  <si>
    <t>510</t>
  </si>
  <si>
    <t>Прочие межбюджетные трансферты общего характера</t>
  </si>
  <si>
    <t>Иные межбюджетные трансферты общего характера (в целях компенсации расходов в связи с увеличением ставки налога на имущество организаций в отношении объектов социально-культурной сферы)</t>
  </si>
  <si>
    <t>1200012264</t>
  </si>
  <si>
    <t xml:space="preserve">бюджетных ассигнований из районного бюджета на 2024-2026 гг.  по разделам, </t>
  </si>
  <si>
    <t xml:space="preserve">                                                                                             Приложение  № 4</t>
  </si>
  <si>
    <t>Ведомство</t>
  </si>
  <si>
    <t>Вид расх</t>
  </si>
  <si>
    <t>Общий объем на 2024 г.</t>
  </si>
  <si>
    <t>Общий объем на 2025 г.</t>
  </si>
  <si>
    <t>Учреждение: Администрация Кировского муниципального района</t>
  </si>
  <si>
    <t>9999000040</t>
  </si>
  <si>
    <t>Субсидии из местного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t>
  </si>
  <si>
    <r>
      <t xml:space="preserve">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t>
    </r>
    <r>
      <rPr>
        <b/>
        <sz val="11"/>
        <rFont val="Times New Roman"/>
        <family val="1"/>
        <charset val="204"/>
      </rPr>
      <t>(краевой бюджет)</t>
    </r>
  </si>
  <si>
    <r>
      <t xml:space="preserve">Расходы на строительство, реконструкцию и приобретение зданий муниципальных общеобразовательных организаций за счет средств </t>
    </r>
    <r>
      <rPr>
        <b/>
        <sz val="11"/>
        <rFont val="Times New Roman"/>
        <family val="1"/>
        <charset val="204"/>
      </rPr>
      <t>местного бюджета</t>
    </r>
    <r>
      <rPr>
        <sz val="11"/>
        <rFont val="Times New Roman"/>
        <family val="1"/>
        <charset val="204"/>
      </rPr>
      <t>, в целях софинансирования которых из бюджета Приморского края предоставляются субсидии</t>
    </r>
  </si>
  <si>
    <t>уточнить вид расходов</t>
  </si>
  <si>
    <t xml:space="preserve">Содействие в подготовке проведения общероссийского  голосования, а также в информировании граждан Российской Федерации о такой подготовке (иные межбюджетные трансферты за счет бюджета Приморского края) </t>
  </si>
  <si>
    <r>
      <t xml:space="preserve">Субсидии юридическим лицам (кроме некоммерческих организаций), индивидуальным предпринимателям </t>
    </r>
    <r>
      <rPr>
        <b/>
        <sz val="11"/>
        <rFont val="Times New Roman"/>
        <family val="1"/>
        <charset val="204"/>
      </rPr>
      <t>(краевой бюджет)</t>
    </r>
  </si>
  <si>
    <r>
      <t xml:space="preserve">Субсидии юридическим лицам (кроме некоммерческих организаций), индивидуальным предпринимателям </t>
    </r>
    <r>
      <rPr>
        <b/>
        <sz val="11"/>
        <rFont val="Times New Roman"/>
        <family val="1"/>
        <charset val="204"/>
      </rPr>
      <t>(местный бюджет)</t>
    </r>
  </si>
  <si>
    <t>953</t>
  </si>
  <si>
    <t xml:space="preserve">Общее образование </t>
  </si>
  <si>
    <t>Муниципальная программа "Патриотическое воспитание граждан в Кировском муниципальном районе на 2018-2022 годы"</t>
  </si>
  <si>
    <t>1000020140</t>
  </si>
  <si>
    <t>Субсидии бюджетным учреждениям-МБУ  ДО  "КДШИ"</t>
  </si>
  <si>
    <t>Субсидии бюджетным учреждениям-МБУ  ДО  "ГДШИ"</t>
  </si>
  <si>
    <t>Муниципальная программа "Сохранение и развитие культуры в Кировском муниципальном районе на 2018-2022 годы"</t>
  </si>
  <si>
    <r>
      <rPr>
        <i/>
        <sz val="11"/>
        <rFont val="Times New Roman"/>
        <family val="1"/>
        <charset val="204"/>
      </rPr>
      <t>Субсидии</t>
    </r>
    <r>
      <rPr>
        <sz val="11"/>
        <rFont val="Times New Roman"/>
        <family val="1"/>
        <charset val="204"/>
      </rPr>
      <t xml:space="preserve"> бюджетам муниципальных образований на  приобретение музыкальных инструментов и художественного инвентаря для учреждений дополнительного образования детей в сфере культуры (краевой бюджет)</t>
    </r>
  </si>
  <si>
    <r>
      <t xml:space="preserve">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t>
    </r>
    <r>
      <rPr>
        <b/>
        <i/>
        <sz val="11"/>
        <rFont val="Times New Roman"/>
        <family val="1"/>
        <charset val="204"/>
      </rPr>
      <t>местного бюджета,</t>
    </r>
    <r>
      <rPr>
        <sz val="11"/>
        <rFont val="Times New Roman"/>
        <family val="1"/>
        <charset val="204"/>
      </rPr>
      <t xml:space="preserve"> в целях софинансирования которых из бюджета Приморского края предоставляются субсидии</t>
    </r>
  </si>
  <si>
    <t>Подпрограмма № 8 "Молодежь Кировского района"</t>
  </si>
  <si>
    <t>Муниципальная программа "Доступная среда для инвалидов в Кировском муниципальном районе на 2016-2019 годы"</t>
  </si>
  <si>
    <t>060000000</t>
  </si>
  <si>
    <r>
      <t xml:space="preserve">Расходы на обеспечение развития и укрепления материально-технической базы домов культуры в населенных пунктах с числом жителей до 50 тыс. человек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</si>
  <si>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t>Мероприятия по развитию и поддержке библиотек</t>
  </si>
  <si>
    <r>
      <t xml:space="preserve">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t>
    </r>
    <r>
      <rPr>
        <b/>
        <sz val="11"/>
        <rFont val="Times New Roman"/>
        <family val="1"/>
        <charset val="204"/>
      </rPr>
      <t>(краевой бюджет)</t>
    </r>
  </si>
  <si>
    <r>
      <t>Расходы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за счет средств</t>
    </r>
    <r>
      <rPr>
        <b/>
        <sz val="11"/>
        <rFont val="Times New Roman"/>
        <family val="1"/>
        <charset val="204"/>
      </rPr>
      <t xml:space="preserve"> местного бюджета</t>
    </r>
    <r>
      <rPr>
        <sz val="11"/>
        <rFont val="Times New Roman"/>
        <family val="1"/>
        <charset val="204"/>
      </rPr>
      <t>, в целях софинансирования которых из бюджета Приморского края предоставляются субсидии</t>
    </r>
  </si>
  <si>
    <r>
      <t xml:space="preserve">Субсидии бюджетам муниципальных образований на комплектование книжных фондов и обеспечение информационно- техническим оборудованием библиотек </t>
    </r>
    <r>
      <rPr>
        <b/>
        <sz val="11"/>
        <rFont val="Times New Roman"/>
        <family val="1"/>
        <charset val="204"/>
      </rPr>
      <t>(краевой бюджет)</t>
    </r>
  </si>
  <si>
    <r>
      <t xml:space="preserve">Расходы на комплектование книжных фондов и обеспечение информационно- техническим оборудованием библиотек за счет средств </t>
    </r>
    <r>
      <rPr>
        <b/>
        <sz val="11"/>
        <rFont val="Times New Roman"/>
        <family val="1"/>
        <charset val="204"/>
      </rPr>
      <t>местного бюджета</t>
    </r>
    <r>
      <rPr>
        <sz val="11"/>
        <rFont val="Times New Roman"/>
        <family val="1"/>
        <charset val="204"/>
      </rPr>
      <t>, в целях софинансирования которых из бюджета Приморского края предоставляются субсидии</t>
    </r>
  </si>
  <si>
    <t>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Санкт-Петербурга</t>
  </si>
  <si>
    <t>0595144</t>
  </si>
  <si>
    <t>06000000000</t>
  </si>
  <si>
    <t>Расходы на софинансирование расходных обязательств субъектов РФ, свзяаннх с реализацией ФЦП "Увековечение памяти погибших при защите Отечества на 2019-2024 годы" за счет средств местного бюджета, в целях софинансирования которых из бюджета Приморского края предоставляются субсидии</t>
  </si>
  <si>
    <t>0180020000</t>
  </si>
  <si>
    <t xml:space="preserve">Муниципальная программа «Комплексное развитие сельских территорий" в Кировском муниципальном районе на 2021-2027 годы </t>
  </si>
  <si>
    <t xml:space="preserve">Субвенции бюджетам муниципальных образований Приморского края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</si>
  <si>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Обеспечение детей сирот и детей, оставшихся без попечения родителей, лиц из числа детей -сирот и детей, оставшихся без попечения родителей, жилыми помещениями за счет краевого бюджета</t>
  </si>
  <si>
    <t>Обеспечение детей сирот и детей, оставшихся без попечения родителей, лиц из числа детей -сирот и детей, оставшихся без попечения родителей, жилыми помещениями за счет федерального бюджета</t>
  </si>
  <si>
    <r>
      <t xml:space="preserve">Субсидии бюджетам муниципальных образований Приморского края на развитие спортивной инфраструктуры, находящейся в муниципальной собственности </t>
    </r>
    <r>
      <rPr>
        <b/>
        <i/>
        <sz val="11"/>
        <rFont val="Times New Roman"/>
        <family val="1"/>
        <charset val="204"/>
      </rPr>
      <t>(краевой бюджет)</t>
    </r>
  </si>
  <si>
    <r>
      <t xml:space="preserve">Расходы на развитие спортивной инфраструктуры, находящейся в муниципальной собственности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</si>
  <si>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r>
      <t xml:space="preserve">Расходы по развитию спортивной инфраструктуры, находящейся в муниципальной собственности </t>
    </r>
    <r>
      <rPr>
        <i/>
        <sz val="11"/>
        <rFont val="Times New Roman"/>
        <family val="1"/>
        <charset val="204"/>
      </rPr>
      <t>за счет средств местного бюджета</t>
    </r>
    <r>
      <rPr>
        <sz val="11"/>
        <rFont val="Times New Roman"/>
        <family val="1"/>
        <charset val="204"/>
      </rPr>
      <t>, в целях софинансирования которых из бюджета Приморского края предоставляются субсидии</t>
    </r>
  </si>
  <si>
    <t xml:space="preserve">Капитальные вложения в объекты государственной (муниципальной) собственности </t>
  </si>
  <si>
    <r>
      <t xml:space="preserve">Субсидии из краевого бюджета бюджетам муниципальных образований Приморского края на оснащение объектов спортивной инфраструктуры спортивно-технологическим оборудованием </t>
    </r>
    <r>
      <rPr>
        <b/>
        <i/>
        <sz val="11"/>
        <rFont val="Times New Roman"/>
        <family val="1"/>
        <charset val="204"/>
      </rPr>
      <t>(краевой бюджет)</t>
    </r>
  </si>
  <si>
    <r>
      <t xml:space="preserve">Мероприятия по оснащению объектов спортивной инфраструктуры спортивно-технологическим оборудованием </t>
    </r>
    <r>
      <rPr>
        <b/>
        <i/>
        <sz val="11"/>
        <rFont val="Times New Roman"/>
        <family val="1"/>
        <charset val="204"/>
      </rPr>
      <t xml:space="preserve">(местный  бюджет) </t>
    </r>
  </si>
  <si>
    <t xml:space="preserve">Субсидии бюджетам муниципальных образований Приморского края на приобретению и поставке спортивного инвентаря, спортивного оборудования и иного имущества для развития массового спорта (краевой бюджет) </t>
  </si>
  <si>
    <t>Расходы по приобретению и поставке спортивного инвентаря, спортивного оборудования и иного имущества для развития массового спорта за счет средств местного бюджета, в целях софинансирования которых из бюджета Приморского края предоставляются субсидии</t>
  </si>
  <si>
    <t>Процентные платежи помуниципальному долгу</t>
  </si>
  <si>
    <t>Учреждение: Дума Кировского муниципального района</t>
  </si>
  <si>
    <t>Учреждение: финансовое  управление администрации Кировского муниципального района</t>
  </si>
  <si>
    <t>9999000070</t>
  </si>
  <si>
    <t>Учреждение: Муниципальное казенное учреждение «Центр  обслуживания муниципальных образовательных учреждений» Кировского муниципального района Приморского края</t>
  </si>
  <si>
    <t>Выполнение наказов избирателей(дошкольное образование)</t>
  </si>
  <si>
    <t>Субсидии бюджетным организациям</t>
  </si>
  <si>
    <t>Субвенции на выплату ежемесячного денежного вознаграждения за классное руководство за счет краевого бюджета</t>
  </si>
  <si>
    <t>022933040</t>
  </si>
  <si>
    <r>
      <t xml:space="preserve">Мероприятия по развитию и поддержке внешкольного образования </t>
    </r>
    <r>
      <rPr>
        <b/>
        <i/>
        <sz val="11"/>
        <rFont val="Times New Roman"/>
        <family val="1"/>
        <charset val="204"/>
      </rPr>
      <t>(наказы избирателей)</t>
    </r>
  </si>
  <si>
    <t>Субсидии бюджетным учреждениям (МБУ ДО "ДЮЦ")</t>
  </si>
  <si>
    <t>Субсидии бюджетным учреждениям (ПФДО)</t>
  </si>
  <si>
    <t>Подпрограмма № 5 "Переподготовка и повышение квалификации"</t>
  </si>
  <si>
    <t>Муниципальная программа "Развитие образования в Кировском муниципальном районе на 2018-2022 годы"</t>
  </si>
  <si>
    <r>
      <t>Субсидии бюджетам муниципальных образований на  капитальный ремонт оздоровительных лагерей, находящихся в собственности муниципальных образований (</t>
    </r>
    <r>
      <rPr>
        <b/>
        <sz val="11"/>
        <rFont val="Times New Roman"/>
        <family val="1"/>
        <charset val="204"/>
      </rPr>
      <t>краевой бюджет)</t>
    </r>
  </si>
  <si>
    <r>
      <t xml:space="preserve">Расходы на  капитальный ремонт оздоровительных лагерей, находящихся в собственности муниципальных образований за счет средств </t>
    </r>
    <r>
      <rPr>
        <b/>
        <sz val="11"/>
        <rFont val="Times New Roman"/>
        <family val="1"/>
        <charset val="204"/>
      </rPr>
      <t>местного бюджета</t>
    </r>
    <r>
      <rPr>
        <sz val="11"/>
        <rFont val="Times New Roman"/>
        <family val="1"/>
        <charset val="204"/>
      </rPr>
      <t>, в целях софинансирования которых из бюджета Приморского края предоставляются субсидии</t>
    </r>
  </si>
  <si>
    <t>Расходы на обеспечение деятельности (оказание услуг, выполнение работ) муниципальных  учреждений - прочие учреждения</t>
  </si>
  <si>
    <t>Муниципальная программа "Развитие физической культуры и спорта в Кировском муниципальном районе на 2018-2022 годы"</t>
  </si>
  <si>
    <r>
      <t xml:space="preserve">Субсидии бюджетам муниципальных образований Приморского края на организацию физкультурно-спортивной работы по месту жительства </t>
    </r>
    <r>
      <rPr>
        <b/>
        <i/>
        <sz val="11"/>
        <rFont val="Times New Roman"/>
        <family val="1"/>
        <charset val="204"/>
      </rPr>
      <t>(краевой бюджет)</t>
    </r>
  </si>
  <si>
    <r>
      <t xml:space="preserve">Расходы на организацию физкультурно-спортивной работы по месту жительства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</si>
  <si>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t xml:space="preserve">Субсидии бюджетам муниципальных образований Приморского края на приобретению и поставке спортивного инвентаря, спортивного оборудования и иного имущества (краевой бюджет) </t>
  </si>
  <si>
    <t>040P592231</t>
  </si>
  <si>
    <t>Учреждение: Контрольно-счетная комиссия Кировского муниципального района</t>
  </si>
  <si>
    <t xml:space="preserve">Руководство и управление в сфере установленных функций органов местного самоуправления </t>
  </si>
  <si>
    <t>Итого</t>
  </si>
  <si>
    <t xml:space="preserve">бюджетных ассигнований из районного бюджета на 2024 -2026 годы в ведомственной структуре расходов районного бюджета </t>
  </si>
  <si>
    <t>Общий объем на 2026 г.</t>
  </si>
  <si>
    <t xml:space="preserve">Расходы направленные на организацию транспортного обслуживания населения в границах муниципальных образований Приморского края на территории Кировского муниципального района </t>
  </si>
  <si>
    <t>Расходы направленные на 
благоустройство территорий, прилегающих к местам туристического показа</t>
  </si>
  <si>
    <t>Субсидии бюджетам муниципальных районов на реализацию мероприятий по обеспечению жильем молодых семей за счет краевого бюджета</t>
  </si>
  <si>
    <t>Расходы направленные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Приморского края  за счет местного бюджета</t>
  </si>
  <si>
    <t>Приложение №2</t>
  </si>
  <si>
    <t>Субсидии бюджетам муниципальных образований Приморского края на капитальный ремонт оздоровительных лагерей, находящихся в собственности муниципальных образований</t>
  </si>
  <si>
    <t>1900000000</t>
  </si>
  <si>
    <t>1900Г92410</t>
  </si>
  <si>
    <t>Расходы направленные на организацию транспортного обслуживания населения в границах муниципальных образований Приморского края на территории Кировского муниципального района в целях софинансирования за счет средст местного бюджета</t>
  </si>
  <si>
    <t>1900S92410</t>
  </si>
  <si>
    <t>Расходы направленные на организацию оказания поддержки молодым семьям в приобретении жилого помещения или строительстве индивидуального жилого дома в целях софинансирования за счет местного бюджета</t>
  </si>
  <si>
    <t>1900093130</t>
  </si>
  <si>
    <t>Муниципальная программа "Организация транспортного обслуживания населения между поселениями в границах Кировского муниципального района и создание условий для предоставления качественных и доступных транспортных услуг населению»  на 2024 – 2025 годы.</t>
  </si>
  <si>
    <t>2000192240</t>
  </si>
  <si>
    <t>Муниципальная программа "Развитие туризма на территории Кировского муниципального района" на 2024-2026 годы</t>
  </si>
  <si>
    <t>2000000000</t>
  </si>
  <si>
    <t>011EВ51790</t>
  </si>
  <si>
    <t>9990020030</t>
  </si>
  <si>
    <t>200000000</t>
  </si>
  <si>
    <t>2000S92240</t>
  </si>
  <si>
    <t>Мероприятия направленные на  повышение квалификации, направленные на программы профессиональной переподготовки</t>
  </si>
  <si>
    <t>0140S92030</t>
  </si>
  <si>
    <t>01400S2030</t>
  </si>
  <si>
    <r>
      <t xml:space="preserve">Расходы на  капитальный ремонт оздоровительных лагерей, находящихся в собственности муниципальных образований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</si>
  <si>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t>011E193140</t>
  </si>
  <si>
    <t>Профессиональная подготовка, переподготовка и повышение квалификации</t>
  </si>
  <si>
    <t>Субсидии бюджетам субъектов муниципальных образований на 
государственную поддержку отрасли культуры (поддержка муниципальных учреждений культуры, находящихся на территории сельских поселений)</t>
  </si>
  <si>
    <t>2 02 25332 05 0000 150</t>
  </si>
  <si>
    <t>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</si>
  <si>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</si>
  <si>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 xml:space="preserve">
Субсидии бюджетам муниципальных районов на обеспечение поддержки реализации общественных инициатив, направленных на развитие туристической инфраструктуры</t>
  </si>
  <si>
    <t>01400R5490</t>
  </si>
  <si>
    <t>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</si>
  <si>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 (краевой бюджет)</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</si>
  <si>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 (местный бюджет)</t>
  </si>
  <si>
    <t>01400L5491</t>
  </si>
  <si>
    <t>200J155582</t>
  </si>
  <si>
    <t>Расходы направленные на 
на обеспечение поддержки реализации общественных инициатив, направленных на развитие туристической инфраструктуры</t>
  </si>
  <si>
    <t>200J000000</t>
  </si>
  <si>
    <t>2000100000</t>
  </si>
  <si>
    <t>2 02 25494 05 0000 150</t>
  </si>
  <si>
    <t>2 02 30029 05 0000 150</t>
  </si>
  <si>
    <t>244</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</si>
  <si>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 ( социальный сертификат)</t>
  </si>
  <si>
    <t>Другие вопросы в области социальной политики"</t>
  </si>
  <si>
    <t>000000000</t>
  </si>
  <si>
    <t>1503093210</t>
  </si>
  <si>
    <t>9990093210</t>
  </si>
  <si>
    <t>Реализация проектов инициативного бюджетирования по направлению «Молодежный бюджет»</t>
  </si>
  <si>
    <t>01100S2750</t>
  </si>
  <si>
    <t>Субсидии из краевого бюджета бюджетам муниципальных образований Приморского края на реализацию проектов инициативного бюджетирования по направлению «Молодежный бюджет»</t>
  </si>
  <si>
    <t>Расходы на реализацию проектов инициативного бюджетирования по направлению «Молодежный бюджет», в целях софинансирования которых из бюджета Приморского края предоставляются субсидии</t>
  </si>
  <si>
    <t>0110092750</t>
  </si>
  <si>
    <t>Субсидии бюджетам муниципальных образований Приморского края на софинансирование расходных обязательств субъектов РФ, свзяанных с реализацией ФЦП "Увековечение памяти погибших при защите Отечества на 2019-2024 годы"</t>
  </si>
  <si>
    <t>Муниципальная программа "Организация транспортного обслуживания населения между поселениями в границах Кировского муниципального района и создание условий для предоставления качественных и доступных транспортных услуг населению»  на 2024 – 2026 годы.</t>
  </si>
  <si>
    <t xml:space="preserve">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 (кравой бюджет) </t>
  </si>
  <si>
    <t>01100S2361</t>
  </si>
  <si>
    <t xml:space="preserve">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 (местный бюджет) </t>
  </si>
  <si>
    <t xml:space="preserve">Реализация проектов инициативного бюджетирования по направлению "Твой проект" (МБОУ СОШ №1 пгт. Кировский" "Пришкольный спортивно-игровой комплекс) </t>
  </si>
  <si>
    <t>Реализация проектов инициативного бюджетирования по направлению "Твой проект" (Спортивная площадка МБОУ СОШ кп. Горные Ключи)</t>
  </si>
  <si>
    <t>01100S2362</t>
  </si>
  <si>
    <t>01100S2751</t>
  </si>
  <si>
    <t>01100S2752</t>
  </si>
  <si>
    <t>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</si>
  <si>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t>
  </si>
  <si>
    <t>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t>
  </si>
  <si>
    <t>Субсидии на иные цели. Реализация проектов инициативного бюджетирования по направлению "Твой проект" (Спортивная площадка МБОУ СОШ кп. Горные Ключи</t>
  </si>
  <si>
    <t>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t>
  </si>
  <si>
    <t>Субсидии на иные цели. Реализация проектов инициативного бюджетирования по направлению "Твой проект" (Спортивная площадка МБОУ СОШ кп. Горные Ключи)</t>
  </si>
  <si>
    <t xml:space="preserve">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 </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</si>
  <si>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t>
  </si>
  <si>
    <t>Субсидии бюджетам субъектов муниципальных образований на 
благоустройство территорий, прилегающих к местам туристского показа</t>
  </si>
  <si>
    <t>02000R3040</t>
  </si>
  <si>
    <t>0200020041</t>
  </si>
  <si>
    <t>Рациональная организация питания в общеобразовательных организация Кировского муниципального района</t>
  </si>
  <si>
    <t>Подпрограмма № 10 «Организация здорового питания в образовательных учреждениях»</t>
  </si>
  <si>
    <t>Субсидии бюджетам субъектов муниципальных образований на 
Благоустройство территорий, прилегающих к местам туристского показа</t>
  </si>
  <si>
    <t>Расходы на софинансирование расходных обязательств связанных  с реализацией Благоустройство территорий, прилегающих к местам туристского показа  в целях софинансирования которых из бюджета Приморского края предоставляются субсидии</t>
  </si>
  <si>
    <t>Расходы на софинансирование расходных обязательств связанных  с реализацией благоустройство территорий, прилегающих к местам туристского показа  в целях софинансирования которых из бюджета Приморского края предоставляются субсидии</t>
  </si>
  <si>
    <t>Субсидии бюджетам субъектов муниципальных образований на 
благоустройство территорий, прилегающих к местам туристского показа (за счет краевого бюджета)</t>
  </si>
  <si>
    <t>Фонд оплаты труда учреждений</t>
  </si>
  <si>
    <t>Субсидии бюджетам муниципальных районов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</si>
  <si>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 xml:space="preserve">Расходы на софинансирование расходных обязательств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 </t>
  </si>
  <si>
    <t>Расходы направленные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</si>
  <si>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Расходы на софинансирование расходных обязательств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</si>
  <si>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1 11 05410 05 0000 120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</si>
  <si>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</si>
  <si>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2000050020</t>
  </si>
  <si>
    <t>Мероприятия направленные на развитие туризма в Кировском муниципальном районе, проводимые в рамках благоустройства территорий</t>
  </si>
  <si>
    <t>0101093150</t>
  </si>
  <si>
    <t>01010000000</t>
  </si>
  <si>
    <t>к решения Думы Кировского</t>
  </si>
  <si>
    <t>1 05 01000 01 0000 110</t>
  </si>
  <si>
    <t>1 05 02000 01 0000 110</t>
  </si>
  <si>
    <t>Единый налог на вмененный доход</t>
  </si>
  <si>
    <t>Субсидии бюджетам муниципальных районов на реализация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</si>
  <si>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2 02 25599 05 0000 150</t>
  </si>
  <si>
    <t>Субсидии на реализацию мероприятий по подготовке проектов межевания земельных участков и на проведение кадастровых работ</t>
  </si>
  <si>
    <t>Расходы направленные на подготовку проектов межевания земельных участков и на проведение кадастровых работ</t>
  </si>
  <si>
    <t>01010R3040</t>
  </si>
  <si>
    <t>3000000000</t>
  </si>
  <si>
    <t>Межевание и кадастровые работы</t>
  </si>
  <si>
    <t>Наименование налога  (сбора)</t>
  </si>
  <si>
    <t xml:space="preserve">Субвенции  на обеспечение бесплатным питанием детей, обучающихся муниципальных общеобразовательных учреждениях </t>
  </si>
  <si>
    <t>Субсидии на иные цели. Реализация проектов инициативного бюджетирования по направлению "Твой проект" (Спортивная площадка МБОУ СОШ кп. Горные Ключи)(местный бюджет)</t>
  </si>
  <si>
    <t>Субсидии на иные цели. Реализация проектов инициативного бюджетирования по направлению "Твой проект" (Спортивная площадка МБОУ СОШ кп. Горные Ключи) (кравой бюджет)</t>
  </si>
  <si>
    <t>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 (краевой бюджет)</t>
  </si>
  <si>
    <t>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t>
  </si>
  <si>
    <t>Субсидии бюджетам субъектов муниципальных образований на благоустройство территорий, прилегающих к местам туристского показа (за счет краевого бюджета)</t>
  </si>
  <si>
    <t>Расходы направленные на Благоустройство территорий, прилегающих к местам туристского показа</t>
  </si>
  <si>
    <r>
      <t>Оказание поддержки молодым семьям в приобретении жилого помещения или строительстве индивидуального жилого дома</t>
    </r>
    <r>
      <rPr>
        <b/>
        <sz val="12"/>
        <rFont val="Times New Roman"/>
        <family val="1"/>
        <charset val="204"/>
      </rPr>
      <t xml:space="preserve"> (за счет краевого бюджета)</t>
    </r>
  </si>
  <si>
    <r>
      <t xml:space="preserve">Оказание поддержки молодым семьям в приобретении жилого помещения или строительстве индивидуального жилого дома </t>
    </r>
    <r>
      <rPr>
        <b/>
        <sz val="12"/>
        <rFont val="Times New Roman"/>
        <family val="1"/>
        <charset val="204"/>
      </rPr>
      <t>(за счет местного бюджета)</t>
    </r>
  </si>
  <si>
    <r>
      <t xml:space="preserve">Расходы на  капитальный ремонт оздоровительных лагерей, находящихся в собственности муниципальных образований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</si>
  <si>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t>Реализация проектов инициативного бюджетирования по направлению "Молодежный бюджет" ("МБОУ СОШ №1 пгт. Кировский" "Радуга желаний на школьном дворе")</t>
  </si>
  <si>
    <t>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 (местный бюджет)</t>
  </si>
  <si>
    <t>Реализация проектов инициативного бюджетирования по направлению "Молодежный бюджет" (МБОУ СОШ №2 пгт. Кировский "Обустройство спортивной площадки)</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</si>
  <si>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 (краевой бюджет)</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</si>
  <si>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 (местный бюджет)</t>
  </si>
  <si>
    <t>Расходы направленные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Приморского края в целях софинансирования  за счет местного бюджета</t>
  </si>
  <si>
    <t>Реализация полномочий Российской Федерации по государственной регистрации актов гражданского состояния за счет средств краевого бюджета</t>
  </si>
  <si>
    <t>Муниципальная программа "Организация обеспечения  твердым топливом населения, проживающего на территории сельских поселений Кировского муниципального района" на 2025 – 2027 годы</t>
  </si>
  <si>
    <t>Муниципальная программа "Прведение кадастровых работ в отношении земельных участков из состава земель сельскохозяйственного назначения Кировского муниципального района" на 2024-2026 годы"</t>
  </si>
  <si>
    <t>Муниципальная программа "Прведение кадастровых работ в отношении земельных участков из состава земель сельскохозяйственного назначения Кировского муниципального района" на 2024-2026 годы</t>
  </si>
  <si>
    <t>1 14 06013 05 0000 430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</si>
  <si>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</si>
  <si>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Муниципальная программа "Профилактика безнадзорности, беспризорности и правонарушений несовершеннолетних на 2023-2027годы"</t>
  </si>
  <si>
    <t>Субсидии бюджетам субъектов муниципальных образований на организацию транспортного обслуживания населения в границах муниципальных образований Приморского края</t>
  </si>
  <si>
    <t>9990010211</t>
  </si>
  <si>
    <t>30000L5990</t>
  </si>
  <si>
    <t>2 02 45050 05 0000 150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</si>
  <si>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</si>
  <si>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бюджетам муниципальных районов на 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Приморского края, муниципальных общеобразовательных организаций</t>
  </si>
  <si>
    <t>166,656</t>
  </si>
  <si>
    <t>0110050500</t>
  </si>
  <si>
    <t>2 02 19999 05 0000 150</t>
  </si>
  <si>
    <t>Прочие дотации бюджетам муниципальных районов</t>
  </si>
  <si>
    <t>п</t>
  </si>
  <si>
    <t xml:space="preserve">от 19.12.2024г. № ___-НПА   </t>
  </si>
  <si>
    <t>от 19.12.2024г. № ___-НПА</t>
  </si>
  <si>
    <t xml:space="preserve">от 19.12.2024г. № ___-НПА </t>
  </si>
  <si>
    <t>от 19.12.2024 г. № ___-НПА</t>
  </si>
  <si>
    <t xml:space="preserve"> бюджетных ассигнований на исполнение публичных нормативных обязательств на 2024-2026  годы  по разделам</t>
  </si>
  <si>
    <t>(тыс. руб. )</t>
  </si>
  <si>
    <t>в том числе:</t>
  </si>
  <si>
    <t>за счет средств местного бюджета</t>
  </si>
  <si>
    <t>за счет средств краевого  бюджета</t>
  </si>
  <si>
    <t>Муниципальная программа "Развитие образования в Кировском муниципальном районе на 2014-2017  годы"</t>
  </si>
  <si>
    <t>Субвенции на организацию и обеспечение оздоровления и отдыха детей Приморского края ( за исключением организации отдыха детей в каникулярное время)</t>
  </si>
  <si>
    <t>Социальная политика</t>
  </si>
  <si>
    <t xml:space="preserve">Меры социальной поддержки педагогическим работникам муниципальных образовательных организаций Кировского муниципального района </t>
  </si>
  <si>
    <t>011Е593140</t>
  </si>
  <si>
    <t xml:space="preserve">Меры социальной поддержки детей, оставшихся без попечения родителей, и лиц, принявших на воспитание в семью детей, оставшихся без попечения родителей </t>
  </si>
  <si>
    <t>Выплата единовременного пособия при всех формах устройства детей, лишенных родительского попечения, в семью</t>
  </si>
  <si>
    <t>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</si>
  <si>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Меры по организации и обеспечению оздоровления и отдыха детей ( за исключением организации и обеспечение оздоровления и отдыха детей в каникулярное время)</t>
  </si>
  <si>
    <t>Приложение  № 6</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</si>
</sst>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quot;р.&quot;_-;\-* #,##0.00&quot;р.&quot;_-;_-* &quot;-&quot;??&quot;р.&quot;_-;_-@_-"/>
    <numFmt numFmtId="165" formatCode="_-* #,##0.00_р_._-;\-* #,##0.00_р_._-;_-* &quot;-&quot;??_р_._-;_-@_-"/>
    <numFmt numFmtId="166" formatCode="0.000"/>
    <numFmt numFmtId="167" formatCode="0.00000"/>
    <numFmt numFmtId="168" formatCode="#,##0.00000"/>
    <numFmt numFmtId="169" formatCode="#,##0.000000"/>
    <numFmt numFmtId="170" formatCode="#,##0.000"/>
    <numFmt numFmtId="171" formatCode="0.0"/>
  </numFmts>
  <fonts count="45" x14ac:knownFonts="1">
    <font>
      <sz val="10"/>
      <name val="Arial Cyr"/>
      <charset val="204"/>
    </font>
    <font>
      <sz val="12"/>
      <name val="Times New Roman"/>
      <family val="1"/>
    </font>
    <font>
      <b/>
      <sz val="14"/>
      <name val="Times New Roman"/>
      <family val="1"/>
    </font>
    <font>
      <sz val="12"/>
      <name val="Arial Cyr"/>
      <charset val="204"/>
    </font>
    <font>
      <b/>
      <sz val="11"/>
      <name val="Times New Roman"/>
      <family val="1"/>
    </font>
    <font>
      <sz val="11"/>
      <name val="Times New Roman"/>
      <family val="1"/>
      <charset val="204"/>
    </font>
    <font>
      <sz val="11"/>
      <name val="Times New Roman"/>
      <family val="1"/>
    </font>
    <font>
      <b/>
      <sz val="11"/>
      <name val="Times New Roman"/>
      <family val="1"/>
      <charset val="204"/>
    </font>
    <font>
      <sz val="10"/>
      <name val="Arial Cyr"/>
      <charset val="204"/>
    </font>
    <font>
      <b/>
      <sz val="12"/>
      <name val="Arial Cyr"/>
      <charset val="204"/>
    </font>
    <font>
      <b/>
      <sz val="12"/>
      <name val="Times New Roman"/>
      <family val="1"/>
      <charset val="204"/>
    </font>
    <font>
      <sz val="10"/>
      <name val="Times New Roman"/>
      <family val="1"/>
      <charset val="204"/>
    </font>
    <font>
      <sz val="12"/>
      <name val="Times New Roman"/>
      <family val="1"/>
      <charset val="204"/>
    </font>
    <font>
      <b/>
      <sz val="13"/>
      <name val="Times New Roman"/>
      <family val="1"/>
    </font>
    <font>
      <sz val="13"/>
      <name val="Times New Roman"/>
      <family val="1"/>
      <charset val="204"/>
    </font>
    <font>
      <b/>
      <sz val="11"/>
      <name val="Arial Cyr"/>
      <charset val="204"/>
    </font>
    <font>
      <sz val="11"/>
      <name val="Arial Cyr"/>
      <charset val="204"/>
    </font>
    <font>
      <i/>
      <sz val="12"/>
      <name val="Times New Roman"/>
      <family val="1"/>
      <charset val="204"/>
    </font>
    <font>
      <sz val="11"/>
      <name val="Times New Roman CE"/>
      <family val="1"/>
      <charset val="238"/>
    </font>
    <font>
      <i/>
      <sz val="11"/>
      <name val="Times New Roman"/>
      <family val="1"/>
      <charset val="204"/>
    </font>
    <font>
      <b/>
      <i/>
      <sz val="12"/>
      <name val="Times New Roman"/>
      <family val="1"/>
      <charset val="204"/>
    </font>
    <font>
      <b/>
      <i/>
      <sz val="11"/>
      <name val="Times New Roman"/>
      <family val="1"/>
      <charset val="204"/>
    </font>
    <font>
      <i/>
      <sz val="11"/>
      <name val="Arial Cyr"/>
      <charset val="204"/>
    </font>
    <font>
      <b/>
      <i/>
      <sz val="11"/>
      <name val="Arial Cyr"/>
      <charset val="204"/>
    </font>
    <font>
      <b/>
      <u/>
      <sz val="12"/>
      <name val="Times New Roman"/>
      <family val="1"/>
      <charset val="204"/>
    </font>
    <font>
      <b/>
      <u/>
      <sz val="11"/>
      <name val="Times New Roman"/>
      <family val="1"/>
      <charset val="204"/>
    </font>
    <font>
      <i/>
      <sz val="12"/>
      <name val="Arial Cyr"/>
      <charset val="204"/>
    </font>
    <font>
      <b/>
      <i/>
      <sz val="12"/>
      <name val="Arial Cyr"/>
      <charset val="204"/>
    </font>
    <font>
      <u/>
      <sz val="12"/>
      <name val="Times New Roman"/>
      <family val="1"/>
      <charset val="204"/>
    </font>
    <font>
      <u/>
      <sz val="12"/>
      <name val="Arial Cyr"/>
      <charset val="204"/>
    </font>
    <font>
      <u/>
      <sz val="11"/>
      <name val="Times New Roman"/>
      <family val="1"/>
      <charset val="204"/>
    </font>
    <font>
      <i/>
      <u/>
      <sz val="12"/>
      <name val="Times New Roman"/>
      <family val="1"/>
      <charset val="204"/>
    </font>
    <font>
      <sz val="12"/>
      <name val="Arial"/>
      <family val="2"/>
      <charset val="204"/>
    </font>
    <font>
      <b/>
      <i/>
      <sz val="12"/>
      <name val="Arial"/>
      <family val="2"/>
      <charset val="204"/>
    </font>
    <font>
      <i/>
      <u/>
      <sz val="11"/>
      <name val="Times New Roman"/>
      <family val="1"/>
      <charset val="204"/>
    </font>
    <font>
      <sz val="8"/>
      <name val="Arial Cyr"/>
      <charset val="204"/>
    </font>
    <font>
      <sz val="12"/>
      <name val="Times New Roman CE"/>
      <family val="1"/>
      <charset val="238"/>
    </font>
    <font>
      <sz val="14"/>
      <name val="Times New Roman"/>
      <family val="1"/>
      <charset val="204"/>
    </font>
    <font>
      <b/>
      <sz val="12"/>
      <name val="Times New Roman"/>
      <family val="1"/>
    </font>
    <font>
      <b/>
      <sz val="10"/>
      <name val="Times New Roman"/>
      <family val="1"/>
      <charset val="204"/>
    </font>
    <font>
      <sz val="10"/>
      <name val="Times New Roman"/>
      <family val="1"/>
    </font>
    <font>
      <sz val="9"/>
      <name val="Times New Roman"/>
      <family val="1"/>
      <charset val="204"/>
    </font>
    <font>
      <sz val="9"/>
      <name val="Times New Roman"/>
      <family val="1"/>
    </font>
    <font>
      <sz val="9"/>
      <name val="Arial Cyr"/>
      <charset val="204"/>
    </font>
    <font>
      <i/>
      <sz val="10"/>
      <name val="Arial Cyr"/>
      <charset val="204"/>
    </font>
  </fonts>
  <fills count="1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66FFFF"/>
        <bgColor indexed="64"/>
      </patternFill>
    </fill>
    <fill>
      <patternFill patternType="solid">
        <fgColor theme="9" tint="0.59999389629810485"/>
        <bgColor indexed="64"/>
      </patternFill>
    </fill>
    <fill>
      <patternFill patternType="solid">
        <fgColor rgb="FF00FFFF"/>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indexed="51"/>
        <bgColor indexed="64"/>
      </patternFill>
    </fill>
    <fill>
      <patternFill patternType="solid">
        <fgColor indexed="31"/>
        <bgColor indexed="64"/>
      </patternFill>
    </fill>
    <fill>
      <patternFill patternType="solid">
        <fgColor rgb="FFCFCCFC"/>
        <bgColor indexed="64"/>
      </patternFill>
    </fill>
    <fill>
      <patternFill patternType="solid">
        <fgColor indexed="1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164" fontId="8" fillId="0" borderId="0" applyFont="0" applyFill="0" applyBorder="0" applyAlignment="0" applyProtection="0"/>
    <xf numFmtId="0" fontId="8" fillId="0" borderId="0"/>
    <xf numFmtId="165" fontId="8" fillId="0" borderId="0" applyFont="0" applyFill="0" applyBorder="0" applyAlignment="0" applyProtection="0"/>
  </cellStyleXfs>
  <cellXfs count="471">
    <xf numFmtId="0" fontId="0" fillId="0" borderId="0" xfId="0"/>
    <xf numFmtId="0" fontId="12" fillId="2" borderId="0" xfId="0" applyFont="1" applyFill="1"/>
    <xf numFmtId="0" fontId="5" fillId="0" borderId="1" xfId="0" applyFont="1" applyFill="1" applyBorder="1" applyAlignment="1">
      <alignment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shrinkToFit="1"/>
    </xf>
    <xf numFmtId="0" fontId="15" fillId="0" borderId="0" xfId="0" applyFont="1" applyFill="1"/>
    <xf numFmtId="49" fontId="5" fillId="3" borderId="1" xfId="0" applyNumberFormat="1" applyFont="1" applyFill="1" applyBorder="1" applyAlignment="1">
      <alignment horizontal="center" vertical="center" wrapText="1" shrinkToFit="1"/>
    </xf>
    <xf numFmtId="0" fontId="5" fillId="3" borderId="0" xfId="0" applyFont="1" applyFill="1"/>
    <xf numFmtId="49" fontId="17" fillId="3" borderId="1" xfId="0" applyNumberFormat="1" applyFont="1" applyFill="1" applyBorder="1" applyAlignment="1">
      <alignment horizontal="center" vertical="center" wrapText="1" shrinkToFit="1"/>
    </xf>
    <xf numFmtId="49" fontId="5" fillId="4" borderId="1" xfId="0" applyNumberFormat="1" applyFont="1" applyFill="1" applyBorder="1" applyAlignment="1">
      <alignment horizontal="center" vertical="center" wrapText="1" shrinkToFit="1"/>
    </xf>
    <xf numFmtId="0" fontId="10" fillId="3" borderId="1" xfId="0" applyFont="1" applyFill="1" applyBorder="1" applyAlignment="1">
      <alignment vertical="center" wrapText="1"/>
    </xf>
    <xf numFmtId="168" fontId="5" fillId="0" borderId="1" xfId="0" applyNumberFormat="1" applyFont="1" applyFill="1" applyBorder="1" applyAlignment="1">
      <alignment horizontal="center" vertical="center" wrapText="1"/>
    </xf>
    <xf numFmtId="168" fontId="7" fillId="0" borderId="1" xfId="0" applyNumberFormat="1" applyFont="1" applyFill="1" applyBorder="1" applyAlignment="1">
      <alignment horizontal="center" vertical="center" wrapText="1"/>
    </xf>
    <xf numFmtId="168" fontId="5" fillId="3" borderId="1" xfId="0" applyNumberFormat="1" applyFont="1" applyFill="1" applyBorder="1" applyAlignment="1">
      <alignment horizontal="center" vertical="center" wrapText="1"/>
    </xf>
    <xf numFmtId="168" fontId="12" fillId="0" borderId="1" xfId="0" applyNumberFormat="1" applyFont="1" applyFill="1" applyBorder="1" applyAlignment="1">
      <alignment horizontal="center" vertical="center"/>
    </xf>
    <xf numFmtId="168" fontId="19" fillId="3" borderId="1" xfId="0" applyNumberFormat="1" applyFont="1" applyFill="1" applyBorder="1" applyAlignment="1">
      <alignment horizontal="center" vertical="center" wrapText="1"/>
    </xf>
    <xf numFmtId="168" fontId="5" fillId="4"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9" fontId="19" fillId="3" borderId="1" xfId="0" applyNumberFormat="1" applyFont="1" applyFill="1" applyBorder="1" applyAlignment="1">
      <alignment horizontal="center" vertical="center" wrapText="1" shrinkToFit="1"/>
    </xf>
    <xf numFmtId="49" fontId="21" fillId="3" borderId="1" xfId="0" applyNumberFormat="1" applyFont="1" applyFill="1" applyBorder="1" applyAlignment="1">
      <alignment horizontal="center" vertical="center" wrapText="1"/>
    </xf>
    <xf numFmtId="49" fontId="21" fillId="3" borderId="1" xfId="0" applyNumberFormat="1" applyFont="1" applyFill="1" applyBorder="1" applyAlignment="1">
      <alignment horizontal="center" vertical="center" wrapText="1" shrinkToFit="1"/>
    </xf>
    <xf numFmtId="168" fontId="21" fillId="3" borderId="1" xfId="0" applyNumberFormat="1" applyFont="1" applyFill="1" applyBorder="1" applyAlignment="1">
      <alignment horizontal="center" vertical="center" wrapText="1"/>
    </xf>
    <xf numFmtId="168" fontId="7" fillId="3"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shrinkToFit="1"/>
    </xf>
    <xf numFmtId="168" fontId="12" fillId="0" borderId="0" xfId="0" applyNumberFormat="1" applyFont="1" applyFill="1" applyAlignment="1">
      <alignment horizontal="center" vertical="center"/>
    </xf>
    <xf numFmtId="168" fontId="10" fillId="0" borderId="1" xfId="3" applyNumberFormat="1" applyFont="1" applyFill="1" applyBorder="1" applyAlignment="1">
      <alignment horizontal="center" vertical="center" wrapText="1"/>
    </xf>
    <xf numFmtId="168" fontId="12" fillId="0" borderId="1" xfId="3" applyNumberFormat="1" applyFont="1" applyFill="1" applyBorder="1" applyAlignment="1">
      <alignment horizontal="center" vertical="center" wrapText="1"/>
    </xf>
    <xf numFmtId="168" fontId="10" fillId="0" borderId="1" xfId="0" applyNumberFormat="1" applyFont="1" applyFill="1" applyBorder="1" applyAlignment="1">
      <alignment horizontal="center" vertical="center"/>
    </xf>
    <xf numFmtId="0" fontId="20" fillId="0" borderId="1" xfId="0" applyFont="1" applyFill="1" applyBorder="1" applyAlignment="1">
      <alignment horizontal="center" vertical="center" wrapText="1"/>
    </xf>
    <xf numFmtId="168" fontId="20" fillId="0" borderId="1" xfId="3" applyNumberFormat="1" applyFont="1" applyFill="1" applyBorder="1" applyAlignment="1">
      <alignment horizontal="center" vertical="center" wrapText="1"/>
    </xf>
    <xf numFmtId="168" fontId="20" fillId="0" borderId="1" xfId="0" applyNumberFormat="1" applyFont="1" applyFill="1" applyBorder="1" applyAlignment="1">
      <alignment horizontal="center" vertical="center"/>
    </xf>
    <xf numFmtId="0" fontId="12" fillId="0" borderId="0" xfId="0" applyFont="1" applyFill="1" applyAlignment="1">
      <alignment horizontal="center" vertical="center"/>
    </xf>
    <xf numFmtId="0" fontId="16" fillId="3" borderId="0" xfId="0" applyFont="1" applyFill="1"/>
    <xf numFmtId="0" fontId="12" fillId="3" borderId="0" xfId="0" applyFont="1" applyFill="1"/>
    <xf numFmtId="0" fontId="12" fillId="3" borderId="0" xfId="0" applyFont="1" applyFill="1" applyAlignment="1">
      <alignment vertical="top"/>
    </xf>
    <xf numFmtId="0" fontId="16" fillId="3" borderId="0" xfId="0" applyFont="1" applyFill="1" applyBorder="1" applyAlignment="1">
      <alignment horizontal="left"/>
    </xf>
    <xf numFmtId="168" fontId="16" fillId="3" borderId="0" xfId="0" applyNumberFormat="1" applyFont="1" applyFill="1"/>
    <xf numFmtId="168" fontId="4" fillId="3" borderId="0" xfId="0" applyNumberFormat="1" applyFont="1" applyFill="1" applyAlignment="1">
      <alignment horizontal="center" vertical="center" wrapText="1"/>
    </xf>
    <xf numFmtId="49" fontId="16" fillId="3" borderId="0" xfId="0" applyNumberFormat="1" applyFont="1" applyFill="1" applyBorder="1" applyAlignment="1">
      <alignment horizontal="left"/>
    </xf>
    <xf numFmtId="168" fontId="5" fillId="3" borderId="0" xfId="0" applyNumberFormat="1" applyFont="1" applyFill="1" applyAlignment="1">
      <alignment horizontal="right"/>
    </xf>
    <xf numFmtId="0" fontId="15" fillId="3" borderId="0" xfId="0" applyFont="1" applyFill="1"/>
    <xf numFmtId="49" fontId="7" fillId="3" borderId="1" xfId="0" applyNumberFormat="1" applyFont="1" applyFill="1" applyBorder="1" applyAlignment="1">
      <alignment horizontal="center" vertical="center" wrapText="1"/>
    </xf>
    <xf numFmtId="49" fontId="19" fillId="3" borderId="1" xfId="0" applyNumberFormat="1" applyFont="1" applyFill="1" applyBorder="1" applyAlignment="1">
      <alignment horizontal="center" vertical="center" wrapText="1"/>
    </xf>
    <xf numFmtId="0" fontId="22" fillId="3" borderId="0" xfId="0" applyFont="1" applyFill="1"/>
    <xf numFmtId="168" fontId="15" fillId="3" borderId="0" xfId="0" applyNumberFormat="1" applyFont="1" applyFill="1"/>
    <xf numFmtId="168" fontId="5" fillId="3" borderId="0" xfId="0" applyNumberFormat="1" applyFont="1" applyFill="1"/>
    <xf numFmtId="168" fontId="5" fillId="3" borderId="1" xfId="0" applyNumberFormat="1" applyFont="1" applyFill="1" applyBorder="1" applyAlignment="1">
      <alignment horizontal="center" vertical="center"/>
    </xf>
    <xf numFmtId="0" fontId="7" fillId="3" borderId="0" xfId="0" applyFont="1" applyFill="1"/>
    <xf numFmtId="0" fontId="21" fillId="3" borderId="0" xfId="0" applyFont="1" applyFill="1"/>
    <xf numFmtId="0" fontId="5" fillId="3" borderId="1" xfId="0"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168" fontId="5" fillId="3" borderId="1" xfId="0" applyNumberFormat="1" applyFont="1" applyFill="1" applyBorder="1" applyAlignment="1">
      <alignment horizontal="center" vertical="top"/>
    </xf>
    <xf numFmtId="0" fontId="5" fillId="3" borderId="0" xfId="0" applyFont="1" applyFill="1" applyAlignment="1"/>
    <xf numFmtId="168" fontId="23" fillId="3" borderId="0" xfId="0" applyNumberFormat="1" applyFont="1" applyFill="1"/>
    <xf numFmtId="0" fontId="23" fillId="3" borderId="0" xfId="0" applyFont="1" applyFill="1"/>
    <xf numFmtId="0" fontId="16" fillId="4" borderId="0" xfId="0" applyFont="1" applyFill="1"/>
    <xf numFmtId="168" fontId="5" fillId="3" borderId="0" xfId="0" applyNumberFormat="1" applyFont="1" applyFill="1" applyBorder="1" applyAlignment="1">
      <alignment horizontal="center" vertical="center" wrapText="1"/>
    </xf>
    <xf numFmtId="168" fontId="5" fillId="0" borderId="1" xfId="0" applyNumberFormat="1" applyFont="1" applyFill="1" applyBorder="1" applyAlignment="1">
      <alignment horizontal="center" vertical="center"/>
    </xf>
    <xf numFmtId="0" fontId="1" fillId="0" borderId="0" xfId="2" applyFont="1" applyFill="1"/>
    <xf numFmtId="0" fontId="1" fillId="0" borderId="0" xfId="2" applyFont="1" applyFill="1" applyAlignment="1">
      <alignment horizontal="center"/>
    </xf>
    <xf numFmtId="0" fontId="14" fillId="0" borderId="0" xfId="2" applyFont="1" applyFill="1" applyBorder="1" applyAlignment="1">
      <alignment horizontal="left" vertical="justify" wrapText="1"/>
    </xf>
    <xf numFmtId="0" fontId="13" fillId="0" borderId="0" xfId="2" applyFont="1" applyFill="1" applyBorder="1" applyAlignment="1">
      <alignment horizontal="center" vertical="justify" wrapText="1"/>
    </xf>
    <xf numFmtId="0" fontId="12" fillId="0" borderId="0" xfId="2" applyFont="1" applyFill="1" applyBorder="1" applyAlignment="1">
      <alignment horizontal="right" vertical="justify" wrapText="1"/>
    </xf>
    <xf numFmtId="0" fontId="1" fillId="0" borderId="1" xfId="2" applyFont="1" applyFill="1" applyBorder="1" applyAlignment="1">
      <alignment horizontal="center" vertical="center" wrapText="1"/>
    </xf>
    <xf numFmtId="0" fontId="10" fillId="0" borderId="1" xfId="2" applyFont="1" applyFill="1" applyBorder="1" applyAlignment="1">
      <alignment horizontal="left" vertical="center" wrapText="1"/>
    </xf>
    <xf numFmtId="168" fontId="10" fillId="0" borderId="1" xfId="2" applyNumberFormat="1" applyFont="1" applyFill="1" applyBorder="1" applyAlignment="1">
      <alignment horizontal="center" vertical="center" wrapText="1"/>
    </xf>
    <xf numFmtId="0" fontId="12" fillId="0" borderId="1" xfId="2" applyFont="1" applyFill="1" applyBorder="1" applyAlignment="1">
      <alignment horizontal="center" vertical="center" wrapText="1"/>
    </xf>
    <xf numFmtId="0" fontId="12" fillId="0" borderId="1" xfId="2" applyFont="1" applyFill="1" applyBorder="1" applyAlignment="1">
      <alignment horizontal="left" vertical="center" wrapText="1"/>
    </xf>
    <xf numFmtId="0" fontId="1" fillId="0" borderId="1" xfId="2" applyFont="1" applyFill="1" applyBorder="1" applyAlignment="1">
      <alignment horizontal="left" vertical="center" wrapText="1"/>
    </xf>
    <xf numFmtId="2" fontId="1" fillId="0" borderId="1" xfId="2" applyNumberFormat="1" applyFont="1" applyFill="1" applyBorder="1" applyAlignment="1">
      <alignment horizontal="left" vertical="center" wrapText="1"/>
    </xf>
    <xf numFmtId="0" fontId="9" fillId="0" borderId="1" xfId="2" applyFont="1" applyFill="1" applyBorder="1" applyAlignment="1">
      <alignment horizontal="left" vertical="center"/>
    </xf>
    <xf numFmtId="0" fontId="10"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168" fontId="12" fillId="3" borderId="1"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wrapText="1"/>
    </xf>
    <xf numFmtId="168" fontId="7" fillId="5" borderId="1" xfId="0" applyNumberFormat="1" applyFont="1" applyFill="1" applyBorder="1" applyAlignment="1">
      <alignment horizontal="center" vertical="center" wrapText="1"/>
    </xf>
    <xf numFmtId="49" fontId="7" fillId="5" borderId="1" xfId="0" applyNumberFormat="1" applyFont="1" applyFill="1" applyBorder="1" applyAlignment="1">
      <alignment horizontal="center" vertical="center" wrapText="1" shrinkToFit="1"/>
    </xf>
    <xf numFmtId="49" fontId="21" fillId="0" borderId="1" xfId="0" applyNumberFormat="1" applyFont="1" applyFill="1" applyBorder="1" applyAlignment="1">
      <alignment horizontal="center" vertical="center" wrapText="1" shrinkToFi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top" wrapText="1"/>
    </xf>
    <xf numFmtId="49" fontId="7" fillId="6" borderId="1" xfId="0" applyNumberFormat="1" applyFont="1" applyFill="1" applyBorder="1" applyAlignment="1">
      <alignment horizontal="center" vertical="top" wrapText="1"/>
    </xf>
    <xf numFmtId="168" fontId="7" fillId="6" borderId="1" xfId="0" applyNumberFormat="1" applyFont="1" applyFill="1" applyBorder="1" applyAlignment="1">
      <alignment horizontal="center" vertical="center" wrapText="1"/>
    </xf>
    <xf numFmtId="168" fontId="7" fillId="6" borderId="1" xfId="0" applyNumberFormat="1" applyFont="1" applyFill="1" applyBorder="1" applyAlignment="1">
      <alignment horizontal="center"/>
    </xf>
    <xf numFmtId="0" fontId="5" fillId="3"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shrinkToFit="1"/>
    </xf>
    <xf numFmtId="49" fontId="7" fillId="0" borderId="1" xfId="0" applyNumberFormat="1" applyFont="1" applyFill="1" applyBorder="1" applyAlignment="1">
      <alignment horizontal="center" vertical="center" wrapText="1"/>
    </xf>
    <xf numFmtId="3" fontId="7" fillId="3" borderId="1" xfId="0" applyNumberFormat="1" applyFont="1" applyFill="1" applyBorder="1" applyAlignment="1">
      <alignment horizontal="center" vertical="center" wrapText="1"/>
    </xf>
    <xf numFmtId="49" fontId="19" fillId="7" borderId="1" xfId="0" applyNumberFormat="1" applyFont="1" applyFill="1" applyBorder="1" applyAlignment="1">
      <alignment horizontal="center" vertical="center" wrapText="1"/>
    </xf>
    <xf numFmtId="168" fontId="19" fillId="7"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0" fontId="5" fillId="5" borderId="1" xfId="0" applyFont="1" applyFill="1" applyBorder="1" applyAlignment="1">
      <alignment horizontal="center" vertical="top" wrapText="1"/>
    </xf>
    <xf numFmtId="0" fontId="16" fillId="6" borderId="0" xfId="0" applyFont="1" applyFill="1"/>
    <xf numFmtId="0" fontId="7" fillId="8" borderId="1" xfId="0" applyFont="1" applyFill="1" applyBorder="1" applyAlignment="1">
      <alignment horizontal="center" vertical="top" wrapText="1"/>
    </xf>
    <xf numFmtId="168" fontId="7" fillId="8" borderId="1" xfId="0" applyNumberFormat="1" applyFont="1" applyFill="1" applyBorder="1" applyAlignment="1">
      <alignment horizontal="center"/>
    </xf>
    <xf numFmtId="168" fontId="19" fillId="0" borderId="1"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68" fontId="21" fillId="0" borderId="1" xfId="0" applyNumberFormat="1" applyFont="1" applyFill="1" applyBorder="1" applyAlignment="1">
      <alignment horizontal="center" vertical="center" wrapText="1"/>
    </xf>
    <xf numFmtId="168" fontId="17" fillId="0" borderId="1" xfId="0" applyNumberFormat="1" applyFont="1" applyFill="1" applyBorder="1" applyAlignment="1">
      <alignment horizontal="center" vertical="center"/>
    </xf>
    <xf numFmtId="166" fontId="12" fillId="0" borderId="0" xfId="0" applyNumberFormat="1" applyFont="1" applyFill="1" applyAlignment="1">
      <alignment horizontal="center" vertical="center"/>
    </xf>
    <xf numFmtId="0" fontId="3" fillId="0" borderId="0" xfId="0" applyFont="1" applyFill="1"/>
    <xf numFmtId="4" fontId="12" fillId="0" borderId="0" xfId="0" applyNumberFormat="1" applyFont="1" applyFill="1"/>
    <xf numFmtId="0" fontId="12" fillId="0" borderId="0" xfId="0" applyFont="1" applyFill="1"/>
    <xf numFmtId="4" fontId="12" fillId="0" borderId="0" xfId="0" applyNumberFormat="1" applyFont="1" applyFill="1" applyAlignment="1">
      <alignment horizontal="center" vertical="center"/>
    </xf>
    <xf numFmtId="0" fontId="12" fillId="0" borderId="0" xfId="0" applyFont="1" applyFill="1" applyAlignment="1">
      <alignment horizontal="left"/>
    </xf>
    <xf numFmtId="166" fontId="12" fillId="0" borderId="0" xfId="0" applyNumberFormat="1" applyFont="1" applyFill="1"/>
    <xf numFmtId="0" fontId="8" fillId="0" borderId="0" xfId="2" applyFont="1" applyFill="1"/>
    <xf numFmtId="168" fontId="12" fillId="0" borderId="1" xfId="2" applyNumberFormat="1" applyFont="1" applyFill="1" applyBorder="1" applyAlignment="1">
      <alignment horizontal="center" vertical="center" wrapText="1"/>
    </xf>
    <xf numFmtId="168" fontId="8" fillId="0" borderId="0" xfId="2" applyNumberFormat="1" applyFont="1" applyFill="1"/>
    <xf numFmtId="166" fontId="8" fillId="0" borderId="0" xfId="2" applyNumberFormat="1" applyFont="1" applyFill="1"/>
    <xf numFmtId="0" fontId="3" fillId="3" borderId="0" xfId="0" applyFont="1" applyFill="1"/>
    <xf numFmtId="0" fontId="3" fillId="3" borderId="0" xfId="0" applyFont="1" applyFill="1" applyAlignment="1">
      <alignment vertical="center" wrapText="1"/>
    </xf>
    <xf numFmtId="0" fontId="3" fillId="3" borderId="0" xfId="0" applyFont="1" applyFill="1" applyAlignment="1">
      <alignment horizontal="center" vertical="center" wrapText="1"/>
    </xf>
    <xf numFmtId="0" fontId="12" fillId="3" borderId="0" xfId="0" applyFont="1" applyFill="1" applyAlignment="1">
      <alignment horizontal="right" vertical="center" wrapText="1"/>
    </xf>
    <xf numFmtId="0" fontId="3" fillId="3" borderId="0" xfId="0" applyFont="1" applyFill="1" applyAlignment="1">
      <alignment horizontal="center"/>
    </xf>
    <xf numFmtId="0" fontId="10" fillId="9" borderId="1" xfId="0" applyFont="1" applyFill="1" applyBorder="1" applyAlignment="1">
      <alignment vertical="center" wrapText="1"/>
    </xf>
    <xf numFmtId="49" fontId="10" fillId="9" borderId="1" xfId="0" applyNumberFormat="1" applyFont="1" applyFill="1" applyBorder="1" applyAlignment="1">
      <alignment horizontal="center" vertical="center" wrapText="1" shrinkToFit="1"/>
    </xf>
    <xf numFmtId="168" fontId="10" fillId="9" borderId="1" xfId="0" applyNumberFormat="1" applyFont="1" applyFill="1" applyBorder="1" applyAlignment="1">
      <alignment horizontal="center" vertical="center" wrapText="1"/>
    </xf>
    <xf numFmtId="0" fontId="3" fillId="9" borderId="0" xfId="0" applyFont="1" applyFill="1"/>
    <xf numFmtId="0" fontId="10" fillId="10" borderId="1" xfId="0" applyFont="1" applyFill="1" applyBorder="1" applyAlignment="1">
      <alignment vertical="center" wrapText="1"/>
    </xf>
    <xf numFmtId="49" fontId="10" fillId="10" borderId="1" xfId="0" applyNumberFormat="1" applyFont="1" applyFill="1" applyBorder="1" applyAlignment="1">
      <alignment horizontal="center" vertical="center" wrapText="1" shrinkToFit="1"/>
    </xf>
    <xf numFmtId="168" fontId="10" fillId="10" borderId="1" xfId="0" applyNumberFormat="1" applyFont="1" applyFill="1" applyBorder="1" applyAlignment="1">
      <alignment horizontal="center" vertical="center" wrapText="1"/>
    </xf>
    <xf numFmtId="168" fontId="3" fillId="10" borderId="0" xfId="0" applyNumberFormat="1" applyFont="1" applyFill="1"/>
    <xf numFmtId="0" fontId="3" fillId="10" borderId="0" xfId="0" applyFont="1" applyFill="1"/>
    <xf numFmtId="0" fontId="12" fillId="3" borderId="1" xfId="0" applyFont="1" applyFill="1" applyBorder="1" applyAlignment="1">
      <alignment vertical="center" wrapText="1"/>
    </xf>
    <xf numFmtId="49" fontId="12" fillId="3" borderId="1" xfId="0" applyNumberFormat="1" applyFont="1" applyFill="1" applyBorder="1" applyAlignment="1">
      <alignment horizontal="center" vertical="center" wrapText="1" shrinkToFit="1"/>
    </xf>
    <xf numFmtId="168" fontId="12" fillId="3" borderId="1" xfId="0" applyNumberFormat="1" applyFont="1" applyFill="1" applyBorder="1" applyAlignment="1">
      <alignment horizontal="center" vertical="center" wrapText="1"/>
    </xf>
    <xf numFmtId="168" fontId="17" fillId="3" borderId="1" xfId="0" applyNumberFormat="1" applyFont="1" applyFill="1" applyBorder="1" applyAlignment="1">
      <alignment horizontal="center" vertical="center" wrapText="1"/>
    </xf>
    <xf numFmtId="0" fontId="26" fillId="3" borderId="0" xfId="0" applyFont="1" applyFill="1"/>
    <xf numFmtId="168" fontId="17" fillId="0" borderId="1" xfId="0" applyNumberFormat="1" applyFont="1" applyFill="1" applyBorder="1" applyAlignment="1">
      <alignment horizontal="center" vertical="center" wrapText="1"/>
    </xf>
    <xf numFmtId="168" fontId="3" fillId="3" borderId="0" xfId="0" applyNumberFormat="1" applyFont="1" applyFill="1"/>
    <xf numFmtId="49" fontId="12" fillId="0" borderId="1" xfId="0" applyNumberFormat="1" applyFont="1" applyFill="1" applyBorder="1" applyAlignment="1">
      <alignment horizontal="center" vertical="center" wrapText="1" shrinkToFit="1"/>
    </xf>
    <xf numFmtId="0" fontId="20" fillId="3" borderId="1" xfId="0" applyFont="1" applyFill="1" applyBorder="1" applyAlignment="1">
      <alignment vertical="top" wrapText="1"/>
    </xf>
    <xf numFmtId="49" fontId="20" fillId="3" borderId="1" xfId="0" applyNumberFormat="1" applyFont="1" applyFill="1" applyBorder="1" applyAlignment="1">
      <alignment horizontal="center" vertical="center" wrapText="1" shrinkToFit="1"/>
    </xf>
    <xf numFmtId="168" fontId="20" fillId="3" borderId="1" xfId="0" applyNumberFormat="1" applyFont="1" applyFill="1" applyBorder="1" applyAlignment="1">
      <alignment horizontal="center" vertical="center" wrapText="1"/>
    </xf>
    <xf numFmtId="0" fontId="12" fillId="3" borderId="1" xfId="0" applyFont="1" applyFill="1" applyBorder="1"/>
    <xf numFmtId="0" fontId="10" fillId="10" borderId="1" xfId="0" applyFont="1" applyFill="1" applyBorder="1" applyAlignment="1">
      <alignment vertical="top" wrapText="1"/>
    </xf>
    <xf numFmtId="49" fontId="12" fillId="3" borderId="1" xfId="0" applyNumberFormat="1" applyFont="1" applyFill="1" applyBorder="1" applyAlignment="1">
      <alignment vertical="top" wrapText="1"/>
    </xf>
    <xf numFmtId="49" fontId="12" fillId="3" borderId="1" xfId="0" applyNumberFormat="1" applyFont="1" applyFill="1" applyBorder="1" applyAlignment="1">
      <alignment horizontal="center" vertical="center"/>
    </xf>
    <xf numFmtId="49" fontId="12" fillId="3" borderId="1" xfId="0" applyNumberFormat="1" applyFont="1" applyFill="1" applyBorder="1" applyAlignment="1">
      <alignment horizontal="center" vertical="center" wrapText="1"/>
    </xf>
    <xf numFmtId="0" fontId="27" fillId="3" borderId="0" xfId="0" applyFont="1" applyFill="1"/>
    <xf numFmtId="0" fontId="9" fillId="3" borderId="0" xfId="0" applyFont="1" applyFill="1"/>
    <xf numFmtId="168" fontId="12" fillId="4"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shrinkToFit="1"/>
    </xf>
    <xf numFmtId="168" fontId="10" fillId="3"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shrinkToFit="1"/>
    </xf>
    <xf numFmtId="168" fontId="20" fillId="0" borderId="1" xfId="0" applyNumberFormat="1" applyFont="1" applyFill="1" applyBorder="1" applyAlignment="1">
      <alignment horizontal="center" vertical="center" wrapText="1"/>
    </xf>
    <xf numFmtId="0" fontId="29" fillId="3" borderId="0" xfId="0" applyFont="1" applyFill="1"/>
    <xf numFmtId="0" fontId="9" fillId="9" borderId="0" xfId="0" applyFont="1" applyFill="1"/>
    <xf numFmtId="0" fontId="26" fillId="10" borderId="0" xfId="0" applyFont="1" applyFill="1"/>
    <xf numFmtId="49" fontId="17" fillId="3"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shrinkToFit="1"/>
    </xf>
    <xf numFmtId="49" fontId="10"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top" wrapText="1"/>
    </xf>
    <xf numFmtId="49" fontId="19" fillId="0" borderId="1" xfId="0" applyNumberFormat="1" applyFont="1" applyFill="1" applyBorder="1" applyAlignment="1">
      <alignment horizontal="center" vertical="center" wrapText="1" shrinkToFit="1"/>
    </xf>
    <xf numFmtId="49" fontId="17" fillId="4" borderId="1" xfId="0" applyNumberFormat="1" applyFont="1" applyFill="1" applyBorder="1" applyAlignment="1">
      <alignment horizontal="center" vertical="center" wrapText="1" shrinkToFit="1"/>
    </xf>
    <xf numFmtId="168" fontId="17" fillId="4" borderId="1" xfId="0" applyNumberFormat="1" applyFont="1" applyFill="1" applyBorder="1" applyAlignment="1">
      <alignment horizontal="center" vertical="center" wrapText="1"/>
    </xf>
    <xf numFmtId="49" fontId="12" fillId="4" borderId="1" xfId="0" applyNumberFormat="1" applyFont="1" applyFill="1" applyBorder="1" applyAlignment="1">
      <alignment horizontal="center" vertical="center" wrapText="1" shrinkToFit="1"/>
    </xf>
    <xf numFmtId="49" fontId="20" fillId="0" borderId="1" xfId="0" applyNumberFormat="1" applyFont="1" applyFill="1" applyBorder="1" applyAlignment="1">
      <alignment horizontal="center" vertical="center" wrapText="1" shrinkToFit="1"/>
    </xf>
    <xf numFmtId="167" fontId="12" fillId="3" borderId="1" xfId="0" applyNumberFormat="1" applyFont="1" applyFill="1" applyBorder="1" applyAlignment="1">
      <alignment horizontal="center" vertical="center" wrapText="1" shrinkToFit="1"/>
    </xf>
    <xf numFmtId="168" fontId="10" fillId="10" borderId="1" xfId="0" applyNumberFormat="1" applyFont="1" applyFill="1" applyBorder="1" applyAlignment="1">
      <alignment horizontal="center" vertical="center"/>
    </xf>
    <xf numFmtId="0" fontId="3" fillId="3" borderId="0" xfId="0" applyFont="1" applyFill="1" applyAlignment="1">
      <alignment vertical="justify"/>
    </xf>
    <xf numFmtId="49" fontId="3" fillId="3" borderId="0" xfId="0" applyNumberFormat="1" applyFont="1" applyFill="1"/>
    <xf numFmtId="49" fontId="32" fillId="3" borderId="0" xfId="0" applyNumberFormat="1" applyFont="1" applyFill="1"/>
    <xf numFmtId="49" fontId="32" fillId="0" borderId="0" xfId="0" applyNumberFormat="1" applyFont="1" applyFill="1"/>
    <xf numFmtId="49" fontId="3" fillId="0" borderId="0" xfId="0" applyNumberFormat="1" applyFont="1" applyFill="1"/>
    <xf numFmtId="0" fontId="32" fillId="0" borderId="0" xfId="0" applyFont="1" applyFill="1" applyAlignment="1">
      <alignment horizontal="left"/>
    </xf>
    <xf numFmtId="0" fontId="3" fillId="0" borderId="0" xfId="0" applyFont="1" applyFill="1" applyAlignment="1">
      <alignment horizontal="center"/>
    </xf>
    <xf numFmtId="0" fontId="32" fillId="2" borderId="0" xfId="0" applyFont="1" applyFill="1"/>
    <xf numFmtId="0" fontId="20" fillId="2" borderId="0" xfId="0" applyFont="1" applyFill="1"/>
    <xf numFmtId="168" fontId="33" fillId="0" borderId="0" xfId="0" applyNumberFormat="1" applyFont="1" applyFill="1"/>
    <xf numFmtId="0" fontId="19" fillId="3" borderId="0" xfId="0" applyFont="1" applyFill="1"/>
    <xf numFmtId="168" fontId="7" fillId="0" borderId="1" xfId="0" applyNumberFormat="1" applyFont="1" applyFill="1" applyBorder="1" applyAlignment="1">
      <alignment horizontal="center" vertical="center"/>
    </xf>
    <xf numFmtId="168" fontId="7" fillId="9" borderId="1" xfId="0" applyNumberFormat="1" applyFont="1" applyFill="1" applyBorder="1" applyAlignment="1">
      <alignment horizontal="center" vertical="center" wrapText="1"/>
    </xf>
    <xf numFmtId="168" fontId="7" fillId="10" borderId="1" xfId="0" applyNumberFormat="1" applyFont="1" applyFill="1" applyBorder="1" applyAlignment="1">
      <alignment horizontal="center" vertical="center" wrapText="1"/>
    </xf>
    <xf numFmtId="49" fontId="5" fillId="10" borderId="1" xfId="0" applyNumberFormat="1" applyFont="1" applyFill="1" applyBorder="1" applyAlignment="1">
      <alignment horizontal="center" vertical="center" wrapText="1"/>
    </xf>
    <xf numFmtId="49" fontId="5" fillId="10" borderId="1" xfId="0" applyNumberFormat="1" applyFont="1" applyFill="1" applyBorder="1" applyAlignment="1">
      <alignment horizontal="center" vertical="center" wrapText="1" shrinkToFit="1"/>
    </xf>
    <xf numFmtId="168" fontId="5" fillId="10"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xf>
    <xf numFmtId="168" fontId="5" fillId="4" borderId="0" xfId="0" applyNumberFormat="1" applyFont="1" applyFill="1" applyBorder="1" applyAlignment="1">
      <alignment horizontal="center" vertical="top"/>
    </xf>
    <xf numFmtId="49" fontId="7" fillId="10" borderId="1" xfId="0" applyNumberFormat="1" applyFont="1" applyFill="1" applyBorder="1" applyAlignment="1">
      <alignment horizontal="center" vertical="center" wrapText="1" shrinkToFit="1"/>
    </xf>
    <xf numFmtId="49" fontId="7" fillId="10" borderId="1" xfId="0" applyNumberFormat="1" applyFont="1" applyFill="1" applyBorder="1" applyAlignment="1">
      <alignment horizontal="center" vertical="center" wrapText="1"/>
    </xf>
    <xf numFmtId="167" fontId="19" fillId="3" borderId="1" xfId="0" applyNumberFormat="1" applyFont="1" applyFill="1" applyBorder="1" applyAlignment="1">
      <alignment horizontal="center" vertical="center" wrapText="1" shrinkToFit="1"/>
    </xf>
    <xf numFmtId="167" fontId="5" fillId="3" borderId="1" xfId="0" applyNumberFormat="1" applyFont="1" applyFill="1" applyBorder="1" applyAlignment="1">
      <alignment horizontal="center" vertical="center" wrapText="1" shrinkToFit="1"/>
    </xf>
    <xf numFmtId="168" fontId="21" fillId="3" borderId="0" xfId="0" applyNumberFormat="1" applyFont="1" applyFill="1" applyBorder="1" applyAlignment="1">
      <alignment horizontal="center" vertical="center" wrapText="1"/>
    </xf>
    <xf numFmtId="168" fontId="19" fillId="0" borderId="1" xfId="0" applyNumberFormat="1" applyFont="1" applyFill="1" applyBorder="1" applyAlignment="1">
      <alignment horizontal="center" vertical="center"/>
    </xf>
    <xf numFmtId="49" fontId="21" fillId="10" borderId="1" xfId="0" applyNumberFormat="1" applyFont="1" applyFill="1" applyBorder="1" applyAlignment="1">
      <alignment horizontal="center" vertical="center" wrapText="1"/>
    </xf>
    <xf numFmtId="49" fontId="21" fillId="10" borderId="1" xfId="0" applyNumberFormat="1" applyFont="1" applyFill="1" applyBorder="1" applyAlignment="1">
      <alignment horizontal="center" vertical="center" wrapText="1" shrinkToFit="1"/>
    </xf>
    <xf numFmtId="168" fontId="21" fillId="10" borderId="1" xfId="0" applyNumberFormat="1" applyFont="1" applyFill="1" applyBorder="1" applyAlignment="1">
      <alignment horizontal="center" vertical="center" wrapText="1"/>
    </xf>
    <xf numFmtId="49" fontId="19" fillId="10" borderId="1" xfId="0" applyNumberFormat="1" applyFont="1" applyFill="1" applyBorder="1" applyAlignment="1">
      <alignment horizontal="center" vertical="center" wrapText="1" shrinkToFit="1"/>
    </xf>
    <xf numFmtId="168" fontId="19" fillId="10" borderId="1" xfId="0" applyNumberFormat="1" applyFont="1" applyFill="1" applyBorder="1" applyAlignment="1">
      <alignment horizontal="center" vertical="center" wrapText="1"/>
    </xf>
    <xf numFmtId="49" fontId="19" fillId="3" borderId="1" xfId="0" applyNumberFormat="1" applyFont="1" applyFill="1" applyBorder="1" applyAlignment="1">
      <alignment horizontal="center" vertical="top" wrapText="1"/>
    </xf>
    <xf numFmtId="49" fontId="5" fillId="0" borderId="1" xfId="0" applyNumberFormat="1" applyFont="1" applyFill="1" applyBorder="1" applyAlignment="1">
      <alignment horizontal="center" vertical="top" wrapText="1"/>
    </xf>
    <xf numFmtId="49" fontId="7" fillId="6" borderId="1" xfId="0" applyNumberFormat="1" applyFont="1" applyFill="1" applyBorder="1" applyAlignment="1">
      <alignment horizontal="center" vertical="center" wrapText="1"/>
    </xf>
    <xf numFmtId="49" fontId="7" fillId="6" borderId="1" xfId="0" applyNumberFormat="1" applyFont="1" applyFill="1" applyBorder="1" applyAlignment="1">
      <alignment horizontal="center" vertical="center" wrapText="1" shrinkToFit="1"/>
    </xf>
    <xf numFmtId="168" fontId="7" fillId="10" borderId="1" xfId="0" applyNumberFormat="1" applyFont="1" applyFill="1" applyBorder="1" applyAlignment="1">
      <alignment horizontal="center" vertical="top"/>
    </xf>
    <xf numFmtId="49" fontId="7" fillId="3" borderId="1" xfId="0" applyNumberFormat="1" applyFont="1" applyFill="1" applyBorder="1"/>
    <xf numFmtId="49" fontId="5" fillId="12" borderId="1" xfId="0" applyNumberFormat="1" applyFont="1" applyFill="1" applyBorder="1" applyAlignment="1">
      <alignment horizontal="center" vertical="center" wrapText="1"/>
    </xf>
    <xf numFmtId="49" fontId="5" fillId="12" borderId="1" xfId="0" applyNumberFormat="1" applyFont="1" applyFill="1" applyBorder="1" applyAlignment="1">
      <alignment horizontal="center" vertical="center" wrapText="1" shrinkToFit="1"/>
    </xf>
    <xf numFmtId="168" fontId="5" fillId="12" borderId="1" xfId="0" applyNumberFormat="1" applyFont="1" applyFill="1" applyBorder="1" applyAlignment="1">
      <alignment horizontal="center" vertical="center" wrapText="1"/>
    </xf>
    <xf numFmtId="0" fontId="3" fillId="3" borderId="1" xfId="0" applyFont="1" applyFill="1" applyBorder="1"/>
    <xf numFmtId="168" fontId="5" fillId="4" borderId="1" xfId="0" applyNumberFormat="1" applyFont="1" applyFill="1" applyBorder="1" applyAlignment="1">
      <alignment horizontal="center" vertical="center"/>
    </xf>
    <xf numFmtId="0" fontId="0" fillId="0" borderId="0" xfId="2" applyFont="1" applyFill="1"/>
    <xf numFmtId="0" fontId="7" fillId="6" borderId="8" xfId="0" applyFont="1" applyFill="1" applyBorder="1" applyAlignment="1">
      <alignment horizontal="center" vertical="top" wrapText="1"/>
    </xf>
    <xf numFmtId="49" fontId="21" fillId="5" borderId="1" xfId="0" applyNumberFormat="1" applyFont="1" applyFill="1" applyBorder="1" applyAlignment="1">
      <alignment horizontal="center" vertical="center" wrapText="1"/>
    </xf>
    <xf numFmtId="49" fontId="21" fillId="5" borderId="1" xfId="0" applyNumberFormat="1" applyFont="1" applyFill="1" applyBorder="1" applyAlignment="1">
      <alignment horizontal="center" vertical="center" wrapText="1" shrinkToFit="1"/>
    </xf>
    <xf numFmtId="168" fontId="21" fillId="5" borderId="1" xfId="0" applyNumberFormat="1" applyFont="1" applyFill="1" applyBorder="1" applyAlignment="1">
      <alignment horizontal="center" vertical="center"/>
    </xf>
    <xf numFmtId="0" fontId="1" fillId="0" borderId="0" xfId="2" applyFont="1" applyFill="1" applyAlignment="1">
      <alignment horizontal="right"/>
    </xf>
    <xf numFmtId="0" fontId="2" fillId="0" borderId="0" xfId="2" applyFont="1" applyFill="1" applyBorder="1" applyAlignment="1">
      <alignment horizontal="center" vertical="justify" wrapText="1"/>
    </xf>
    <xf numFmtId="0" fontId="10" fillId="0" borderId="1" xfId="2" applyFont="1" applyFill="1" applyBorder="1" applyAlignment="1">
      <alignment horizontal="center" vertical="center" wrapText="1"/>
    </xf>
    <xf numFmtId="0" fontId="12" fillId="0" borderId="2" xfId="0" applyFont="1" applyFill="1" applyBorder="1" applyAlignment="1">
      <alignment horizontal="center" vertical="top" wrapText="1"/>
    </xf>
    <xf numFmtId="168" fontId="5" fillId="3" borderId="2" xfId="0" applyNumberFormat="1" applyFont="1" applyFill="1" applyBorder="1" applyAlignment="1">
      <alignment horizontal="center" vertical="center" wrapText="1"/>
    </xf>
    <xf numFmtId="49" fontId="12" fillId="10" borderId="5" xfId="0" applyNumberFormat="1" applyFont="1" applyFill="1" applyBorder="1" applyAlignment="1">
      <alignment horizontal="center" vertical="center" wrapText="1" shrinkToFit="1"/>
    </xf>
    <xf numFmtId="49" fontId="21" fillId="0" borderId="5" xfId="0" applyNumberFormat="1" applyFont="1" applyFill="1" applyBorder="1" applyAlignment="1">
      <alignment horizontal="center" vertical="center" wrapText="1"/>
    </xf>
    <xf numFmtId="0" fontId="21" fillId="0" borderId="6" xfId="0" applyFont="1" applyFill="1" applyBorder="1" applyAlignment="1">
      <alignment horizontal="center" vertical="center" wrapText="1"/>
    </xf>
    <xf numFmtId="168" fontId="21" fillId="0" borderId="4"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0" borderId="0" xfId="0" applyFont="1" applyFill="1" applyAlignment="1">
      <alignment horizontal="center"/>
    </xf>
    <xf numFmtId="168" fontId="16" fillId="0" borderId="0" xfId="0" applyNumberFormat="1" applyFont="1" applyFill="1"/>
    <xf numFmtId="0" fontId="4" fillId="0" borderId="0" xfId="0" applyFont="1" applyFill="1" applyAlignment="1">
      <alignment horizontal="center" vertical="center" wrapText="1"/>
    </xf>
    <xf numFmtId="168" fontId="4" fillId="0" borderId="0" xfId="0" applyNumberFormat="1" applyFont="1" applyFill="1" applyAlignment="1">
      <alignment horizontal="center" vertical="center" wrapText="1"/>
    </xf>
    <xf numFmtId="49" fontId="16" fillId="0" borderId="0" xfId="0" applyNumberFormat="1" applyFont="1" applyFill="1" applyBorder="1" applyAlignment="1">
      <alignment horizontal="center"/>
    </xf>
    <xf numFmtId="168" fontId="5" fillId="0" borderId="0" xfId="0" applyNumberFormat="1" applyFont="1" applyFill="1" applyAlignment="1">
      <alignment horizontal="right"/>
    </xf>
    <xf numFmtId="3" fontId="7" fillId="0" borderId="1" xfId="0" applyNumberFormat="1" applyFont="1" applyFill="1" applyBorder="1" applyAlignment="1">
      <alignment horizontal="center" vertical="center" wrapText="1"/>
    </xf>
    <xf numFmtId="168" fontId="5" fillId="0" borderId="4"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168" fontId="5" fillId="0" borderId="1" xfId="0" applyNumberFormat="1" applyFont="1" applyFill="1" applyBorder="1" applyAlignment="1">
      <alignment horizontal="center" vertical="top"/>
    </xf>
    <xf numFmtId="0" fontId="5" fillId="0" borderId="1"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top" wrapText="1"/>
    </xf>
    <xf numFmtId="168" fontId="5" fillId="0" borderId="0" xfId="0" applyNumberFormat="1" applyFont="1" applyFill="1"/>
    <xf numFmtId="0" fontId="16" fillId="0" borderId="0" xfId="0" applyFont="1" applyFill="1" applyAlignment="1">
      <alignment horizontal="left"/>
    </xf>
    <xf numFmtId="0" fontId="23" fillId="0" borderId="0" xfId="0" applyFont="1" applyFill="1" applyAlignment="1">
      <alignment horizontal="left"/>
    </xf>
    <xf numFmtId="168" fontId="23" fillId="0" borderId="0" xfId="0" applyNumberFormat="1" applyFont="1" applyFill="1"/>
    <xf numFmtId="168" fontId="5" fillId="12" borderId="1" xfId="0" applyNumberFormat="1" applyFont="1" applyFill="1" applyBorder="1" applyAlignment="1">
      <alignment horizontal="center" vertical="center"/>
    </xf>
    <xf numFmtId="49" fontId="12" fillId="7" borderId="1" xfId="0" applyNumberFormat="1" applyFont="1" applyFill="1" applyBorder="1" applyAlignment="1">
      <alignment horizontal="center" vertical="center" wrapText="1" shrinkToFit="1"/>
    </xf>
    <xf numFmtId="168" fontId="12" fillId="7" borderId="1" xfId="0" applyNumberFormat="1" applyFont="1" applyFill="1" applyBorder="1" applyAlignment="1">
      <alignment horizontal="center" vertical="center" wrapText="1"/>
    </xf>
    <xf numFmtId="49" fontId="5" fillId="5" borderId="1" xfId="0" applyNumberFormat="1" applyFont="1" applyFill="1" applyBorder="1" applyAlignment="1">
      <alignment horizontal="center" vertical="top" wrapText="1"/>
    </xf>
    <xf numFmtId="168" fontId="7" fillId="5" borderId="1" xfId="0" applyNumberFormat="1" applyFont="1" applyFill="1" applyBorder="1" applyAlignment="1">
      <alignment horizontal="center" vertical="top"/>
    </xf>
    <xf numFmtId="49" fontId="7" fillId="8" borderId="1" xfId="0" applyNumberFormat="1" applyFont="1" applyFill="1" applyBorder="1" applyAlignment="1">
      <alignment horizontal="center" vertical="top" wrapText="1"/>
    </xf>
    <xf numFmtId="167" fontId="12" fillId="0" borderId="1" xfId="0" applyNumberFormat="1" applyFont="1" applyFill="1" applyBorder="1" applyAlignment="1">
      <alignment horizontal="center" vertical="center" wrapText="1" shrinkToFit="1"/>
    </xf>
    <xf numFmtId="0" fontId="21" fillId="13" borderId="1" xfId="0" applyFont="1" applyFill="1" applyBorder="1" applyAlignment="1">
      <alignment horizontal="center" vertical="center" wrapText="1"/>
    </xf>
    <xf numFmtId="49" fontId="21" fillId="13" borderId="1" xfId="0" applyNumberFormat="1" applyFont="1" applyFill="1" applyBorder="1" applyAlignment="1">
      <alignment horizontal="center" vertical="center" wrapText="1"/>
    </xf>
    <xf numFmtId="168" fontId="21" fillId="13" borderId="1" xfId="0" applyNumberFormat="1" applyFont="1" applyFill="1" applyBorder="1" applyAlignment="1">
      <alignment horizontal="center" vertical="center"/>
    </xf>
    <xf numFmtId="49" fontId="20" fillId="14" borderId="1" xfId="0" applyNumberFormat="1" applyFont="1" applyFill="1" applyBorder="1" applyAlignment="1">
      <alignment horizontal="center" vertical="center" wrapText="1" shrinkToFit="1"/>
    </xf>
    <xf numFmtId="168" fontId="20" fillId="14" borderId="1" xfId="0" applyNumberFormat="1" applyFont="1" applyFill="1" applyBorder="1" applyAlignment="1">
      <alignment horizontal="center" vertical="center" wrapText="1"/>
    </xf>
    <xf numFmtId="0" fontId="10" fillId="10" borderId="1" xfId="0" applyFont="1" applyFill="1" applyBorder="1" applyAlignment="1">
      <alignment horizontal="justify" vertical="center" wrapText="1"/>
    </xf>
    <xf numFmtId="0" fontId="12" fillId="3" borderId="1" xfId="0" applyFont="1" applyFill="1" applyBorder="1" applyAlignment="1">
      <alignment horizontal="justify" vertical="center" wrapText="1"/>
    </xf>
    <xf numFmtId="0" fontId="17" fillId="3" borderId="1" xfId="0" applyFont="1" applyFill="1" applyBorder="1" applyAlignment="1">
      <alignment horizontal="justify" vertical="center" wrapText="1"/>
    </xf>
    <xf numFmtId="0" fontId="10" fillId="3" borderId="1" xfId="0" applyFont="1" applyFill="1" applyBorder="1" applyAlignment="1">
      <alignment horizontal="justify" vertical="center" wrapText="1"/>
    </xf>
    <xf numFmtId="49" fontId="12" fillId="3" borderId="1" xfId="0" applyNumberFormat="1"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3" borderId="1"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20" fillId="3" borderId="1" xfId="0" applyFont="1" applyFill="1" applyBorder="1" applyAlignment="1">
      <alignment horizontal="justify" vertical="center" wrapText="1"/>
    </xf>
    <xf numFmtId="0" fontId="28" fillId="3" borderId="1" xfId="0" applyFont="1" applyFill="1" applyBorder="1" applyAlignment="1">
      <alignment horizontal="justify" vertical="center" wrapText="1"/>
    </xf>
    <xf numFmtId="0" fontId="10" fillId="9"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20" fillId="14" borderId="1" xfId="0" applyFont="1" applyFill="1" applyBorder="1" applyAlignment="1">
      <alignment horizontal="justify" vertical="center" wrapText="1"/>
    </xf>
    <xf numFmtId="0" fontId="19"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28" fillId="7" borderId="1" xfId="0" applyFont="1" applyFill="1" applyBorder="1" applyAlignment="1">
      <alignment horizontal="justify" vertical="center" wrapText="1"/>
    </xf>
    <xf numFmtId="0" fontId="21" fillId="3" borderId="1" xfId="0" applyFont="1" applyFill="1" applyBorder="1" applyAlignment="1">
      <alignment horizontal="justify" vertical="center" wrapText="1"/>
    </xf>
    <xf numFmtId="0" fontId="17" fillId="4" borderId="1" xfId="0" applyFont="1" applyFill="1" applyBorder="1" applyAlignment="1">
      <alignment horizontal="justify" vertical="center" wrapText="1"/>
    </xf>
    <xf numFmtId="0" fontId="28" fillId="4" borderId="1" xfId="0" applyFont="1" applyFill="1" applyBorder="1" applyAlignment="1">
      <alignment horizontal="justify" vertical="center" wrapText="1"/>
    </xf>
    <xf numFmtId="0" fontId="12" fillId="4" borderId="1" xfId="0" applyFont="1" applyFill="1" applyBorder="1" applyAlignment="1">
      <alignment horizontal="justify" vertical="center" wrapText="1"/>
    </xf>
    <xf numFmtId="0" fontId="17" fillId="0" borderId="1" xfId="0" applyNumberFormat="1" applyFont="1" applyFill="1" applyBorder="1" applyAlignment="1">
      <alignment horizontal="justify" vertical="center" wrapText="1"/>
    </xf>
    <xf numFmtId="0" fontId="5" fillId="3" borderId="1" xfId="0" applyNumberFormat="1" applyFont="1" applyFill="1" applyBorder="1" applyAlignment="1">
      <alignment horizontal="justify" vertical="center" wrapText="1"/>
    </xf>
    <xf numFmtId="0" fontId="28" fillId="0" borderId="1" xfId="0" applyFont="1" applyFill="1" applyBorder="1" applyAlignment="1">
      <alignment horizontal="justify" vertical="center" wrapText="1"/>
    </xf>
    <xf numFmtId="0" fontId="20" fillId="0" borderId="1" xfId="0" applyFont="1" applyFill="1" applyBorder="1" applyAlignment="1">
      <alignment horizontal="justify" vertical="center" wrapText="1"/>
    </xf>
    <xf numFmtId="0" fontId="30" fillId="3" borderId="1" xfId="0" applyFont="1" applyFill="1" applyBorder="1" applyAlignment="1">
      <alignment horizontal="justify" vertical="center" wrapText="1"/>
    </xf>
    <xf numFmtId="0" fontId="31" fillId="3" borderId="1" xfId="0" applyFont="1" applyFill="1" applyBorder="1" applyAlignment="1">
      <alignment horizontal="justify" vertical="center" wrapText="1"/>
    </xf>
    <xf numFmtId="0" fontId="3" fillId="3" borderId="1" xfId="0" applyFont="1" applyFill="1" applyBorder="1" applyAlignment="1">
      <alignment horizontal="justify" vertical="center"/>
    </xf>
    <xf numFmtId="0" fontId="19" fillId="3" borderId="1" xfId="0" applyFont="1" applyFill="1" applyBorder="1" applyAlignment="1">
      <alignment horizontal="justify" vertical="center" wrapText="1"/>
    </xf>
    <xf numFmtId="49" fontId="10" fillId="10" borderId="0" xfId="0" applyNumberFormat="1" applyFont="1" applyFill="1" applyAlignment="1">
      <alignment horizontal="justify" vertical="center" shrinkToFit="1"/>
    </xf>
    <xf numFmtId="0" fontId="5" fillId="0" borderId="1" xfId="0" applyFont="1" applyBorder="1" applyAlignment="1">
      <alignment horizontal="justify" vertical="center"/>
    </xf>
    <xf numFmtId="168" fontId="10" fillId="0" borderId="1" xfId="0" applyNumberFormat="1" applyFont="1" applyFill="1" applyBorder="1" applyAlignment="1">
      <alignment horizontal="center" vertical="center" wrapText="1" shrinkToFit="1"/>
    </xf>
    <xf numFmtId="168" fontId="12" fillId="3" borderId="1" xfId="0" applyNumberFormat="1" applyFont="1" applyFill="1" applyBorder="1" applyAlignment="1">
      <alignment horizontal="center" vertical="center" wrapText="1" shrinkToFit="1"/>
    </xf>
    <xf numFmtId="168" fontId="12" fillId="0" borderId="1" xfId="0" applyNumberFormat="1" applyFont="1" applyFill="1" applyBorder="1" applyAlignment="1">
      <alignment horizontal="center" vertical="center" wrapText="1" shrinkToFit="1"/>
    </xf>
    <xf numFmtId="167" fontId="12" fillId="0" borderId="1" xfId="0" applyNumberFormat="1" applyFont="1" applyFill="1" applyBorder="1" applyAlignment="1">
      <alignment horizontal="center" vertical="center" wrapText="1"/>
    </xf>
    <xf numFmtId="0" fontId="12" fillId="3" borderId="1" xfId="0" applyNumberFormat="1" applyFont="1" applyFill="1" applyBorder="1" applyAlignment="1">
      <alignment horizontal="justify" vertical="center" wrapText="1"/>
    </xf>
    <xf numFmtId="0" fontId="12" fillId="0" borderId="1" xfId="0" applyFont="1" applyBorder="1" applyAlignment="1">
      <alignment horizontal="justify" vertical="center"/>
    </xf>
    <xf numFmtId="168" fontId="12" fillId="10" borderId="5" xfId="0" applyNumberFormat="1" applyFont="1" applyFill="1" applyBorder="1" applyAlignment="1">
      <alignment horizontal="center" vertical="center" wrapText="1"/>
    </xf>
    <xf numFmtId="168" fontId="12" fillId="0" borderId="0" xfId="0" applyNumberFormat="1" applyFont="1" applyFill="1"/>
    <xf numFmtId="168" fontId="12" fillId="3" borderId="0" xfId="0" applyNumberFormat="1" applyFont="1" applyFill="1"/>
    <xf numFmtId="168" fontId="9" fillId="3" borderId="0" xfId="0" applyNumberFormat="1" applyFont="1" applyFill="1"/>
    <xf numFmtId="0" fontId="3" fillId="3" borderId="0" xfId="0" applyFont="1" applyFill="1" applyAlignment="1">
      <alignment horizontal="left"/>
    </xf>
    <xf numFmtId="168" fontId="3" fillId="3" borderId="0" xfId="0" applyNumberFormat="1" applyFont="1" applyFill="1" applyAlignment="1">
      <alignment horizontal="center"/>
    </xf>
    <xf numFmtId="168" fontId="27" fillId="3" borderId="0" xfId="0" applyNumberFormat="1" applyFont="1" applyFill="1"/>
    <xf numFmtId="0" fontId="12" fillId="0" borderId="0" xfId="0" applyFont="1" applyFill="1" applyAlignment="1">
      <alignment horizontal="left" vertical="justify"/>
    </xf>
    <xf numFmtId="49" fontId="12" fillId="0" borderId="3" xfId="0" applyNumberFormat="1" applyFont="1" applyFill="1" applyBorder="1" applyAlignment="1">
      <alignment horizontal="center" vertical="center"/>
    </xf>
    <xf numFmtId="166" fontId="12" fillId="0" borderId="0" xfId="0" applyNumberFormat="1" applyFont="1" applyFill="1" applyAlignment="1">
      <alignment horizontal="right"/>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168" fontId="17" fillId="0" borderId="1" xfId="3" applyNumberFormat="1" applyFont="1" applyFill="1" applyBorder="1" applyAlignment="1">
      <alignment horizontal="center" vertical="center" wrapText="1"/>
    </xf>
    <xf numFmtId="2" fontId="12" fillId="0" borderId="0" xfId="0" applyNumberFormat="1" applyFont="1" applyFill="1"/>
    <xf numFmtId="0" fontId="16" fillId="3" borderId="0" xfId="0" applyFont="1" applyFill="1" applyAlignment="1">
      <alignment horizontal="justify" vertical="center"/>
    </xf>
    <xf numFmtId="0" fontId="5" fillId="10" borderId="1" xfId="0" applyFont="1" applyFill="1" applyBorder="1" applyAlignment="1">
      <alignment horizontal="justify" vertical="center" wrapText="1"/>
    </xf>
    <xf numFmtId="49" fontId="5" fillId="3" borderId="1" xfId="0" applyNumberFormat="1" applyFont="1" applyFill="1" applyBorder="1" applyAlignment="1">
      <alignment horizontal="justify" vertical="center" wrapText="1"/>
    </xf>
    <xf numFmtId="0" fontId="7" fillId="10" borderId="1" xfId="0" applyFont="1" applyFill="1" applyBorder="1" applyAlignment="1">
      <alignment horizontal="justify" vertical="center" wrapText="1"/>
    </xf>
    <xf numFmtId="0" fontId="21" fillId="10" borderId="1" xfId="0" applyFont="1" applyFill="1" applyBorder="1" applyAlignment="1">
      <alignment horizontal="justify" vertical="center" wrapText="1"/>
    </xf>
    <xf numFmtId="0" fontId="5" fillId="4" borderId="1" xfId="0" applyFont="1" applyFill="1" applyBorder="1" applyAlignment="1">
      <alignment horizontal="justify" vertical="center" wrapText="1"/>
    </xf>
    <xf numFmtId="0" fontId="5" fillId="12" borderId="1" xfId="0" applyFont="1" applyFill="1" applyBorder="1" applyAlignment="1">
      <alignment horizontal="justify" vertical="center" wrapText="1"/>
    </xf>
    <xf numFmtId="0" fontId="34" fillId="3" borderId="1" xfId="0" applyFont="1" applyFill="1" applyBorder="1" applyAlignment="1">
      <alignment horizontal="justify" vertical="center" wrapText="1"/>
    </xf>
    <xf numFmtId="0" fontId="5" fillId="3" borderId="1" xfId="0" applyFont="1" applyFill="1" applyBorder="1" applyAlignment="1">
      <alignment horizontal="justify" vertical="center"/>
    </xf>
    <xf numFmtId="0" fontId="19" fillId="10" borderId="1" xfId="0" applyFont="1" applyFill="1" applyBorder="1" applyAlignment="1">
      <alignment horizontal="justify" vertical="center" wrapText="1"/>
    </xf>
    <xf numFmtId="0" fontId="30" fillId="0" borderId="1" xfId="0" applyFont="1" applyFill="1" applyBorder="1" applyAlignment="1">
      <alignment horizontal="justify" vertical="center" wrapText="1"/>
    </xf>
    <xf numFmtId="0" fontId="7" fillId="6" borderId="1" xfId="0" applyFont="1" applyFill="1" applyBorder="1" applyAlignment="1">
      <alignment horizontal="justify" vertical="center" wrapText="1"/>
    </xf>
    <xf numFmtId="0" fontId="7" fillId="3" borderId="1" xfId="0" applyFont="1" applyFill="1" applyBorder="1" applyAlignment="1">
      <alignment horizontal="justify" vertical="center"/>
    </xf>
    <xf numFmtId="49" fontId="7" fillId="10" borderId="0" xfId="0" applyNumberFormat="1" applyFont="1" applyFill="1" applyAlignment="1">
      <alignment horizontal="justify" vertical="center" shrinkToFit="1"/>
    </xf>
    <xf numFmtId="0" fontId="30" fillId="7" borderId="1" xfId="0" applyFont="1" applyFill="1" applyBorder="1" applyAlignment="1">
      <alignment horizontal="justify" vertical="center" wrapText="1"/>
    </xf>
    <xf numFmtId="49" fontId="5" fillId="7" borderId="1" xfId="0" applyNumberFormat="1" applyFont="1" applyFill="1" applyBorder="1" applyAlignment="1">
      <alignment horizontal="center" vertical="center" wrapText="1" shrinkToFit="1"/>
    </xf>
    <xf numFmtId="168" fontId="5" fillId="7"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19" fillId="0" borderId="1" xfId="0" applyNumberFormat="1" applyFont="1" applyFill="1" applyBorder="1" applyAlignment="1">
      <alignment horizontal="justify" vertical="center" wrapText="1"/>
    </xf>
    <xf numFmtId="168" fontId="5"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2" borderId="0" xfId="0" applyFont="1" applyFill="1"/>
    <xf numFmtId="0" fontId="21" fillId="2" borderId="0" xfId="0" applyFont="1" applyFill="1"/>
    <xf numFmtId="0" fontId="5" fillId="3" borderId="0" xfId="0" applyFont="1" applyFill="1" applyAlignment="1">
      <alignment horizontal="justify" vertical="center"/>
    </xf>
    <xf numFmtId="0" fontId="7" fillId="9" borderId="1" xfId="0" applyFont="1" applyFill="1" applyBorder="1" applyAlignment="1">
      <alignment horizontal="justify" vertical="center" wrapText="1"/>
    </xf>
    <xf numFmtId="49" fontId="7" fillId="9" borderId="1" xfId="0" applyNumberFormat="1" applyFont="1" applyFill="1" applyBorder="1" applyAlignment="1">
      <alignment horizontal="center" vertical="center" wrapText="1"/>
    </xf>
    <xf numFmtId="0" fontId="5" fillId="4" borderId="0" xfId="0" applyFont="1" applyFill="1"/>
    <xf numFmtId="168" fontId="7" fillId="11" borderId="1" xfId="0" applyNumberFormat="1" applyFont="1" applyFill="1" applyBorder="1" applyAlignment="1">
      <alignment horizontal="center" vertical="center" wrapText="1"/>
    </xf>
    <xf numFmtId="167" fontId="5" fillId="3" borderId="0" xfId="0" applyNumberFormat="1" applyFont="1" applyFill="1"/>
    <xf numFmtId="49" fontId="19" fillId="10" borderId="1" xfId="0" applyNumberFormat="1" applyFont="1" applyFill="1" applyBorder="1" applyAlignment="1">
      <alignment horizontal="center" vertical="center" wrapText="1"/>
    </xf>
    <xf numFmtId="49" fontId="5" fillId="0" borderId="0" xfId="0" applyNumberFormat="1" applyFont="1" applyFill="1"/>
    <xf numFmtId="0" fontId="5" fillId="0" borderId="0" xfId="0" applyFont="1" applyFill="1" applyAlignment="1">
      <alignment horizontal="left"/>
    </xf>
    <xf numFmtId="0" fontId="5" fillId="0" borderId="0" xfId="0" applyFont="1" applyFill="1" applyAlignment="1">
      <alignment horizontal="center"/>
    </xf>
    <xf numFmtId="168" fontId="7" fillId="3" borderId="0" xfId="0" applyNumberFormat="1" applyFont="1" applyFill="1"/>
    <xf numFmtId="169" fontId="5" fillId="3" borderId="0" xfId="0" applyNumberFormat="1" applyFont="1" applyFill="1"/>
    <xf numFmtId="168" fontId="21" fillId="3" borderId="0" xfId="0" applyNumberFormat="1" applyFont="1" applyFill="1"/>
    <xf numFmtId="0" fontId="5" fillId="3" borderId="0" xfId="0" applyFont="1" applyFill="1" applyBorder="1" applyAlignment="1">
      <alignment horizontal="justify" vertical="center"/>
    </xf>
    <xf numFmtId="0" fontId="4" fillId="3" borderId="0" xfId="0" applyFont="1" applyFill="1" applyAlignment="1">
      <alignment horizontal="justify" vertical="center" wrapText="1"/>
    </xf>
    <xf numFmtId="0" fontId="7" fillId="5" borderId="1" xfId="0" applyFont="1" applyFill="1" applyBorder="1" applyAlignment="1">
      <alignment horizontal="justify" vertical="center" wrapText="1"/>
    </xf>
    <xf numFmtId="0" fontId="19" fillId="7" borderId="1" xfId="0" applyFont="1" applyFill="1" applyBorder="1" applyAlignment="1">
      <alignment horizontal="justify" vertical="center" wrapText="1"/>
    </xf>
    <xf numFmtId="0" fontId="21" fillId="0" borderId="1" xfId="0" applyFont="1" applyFill="1" applyBorder="1" applyAlignment="1">
      <alignment horizontal="justify" vertical="center" wrapText="1"/>
    </xf>
    <xf numFmtId="49" fontId="5" fillId="0" borderId="0" xfId="0" applyNumberFormat="1" applyFont="1" applyFill="1" applyAlignment="1">
      <alignment horizontal="justify" vertical="center"/>
    </xf>
    <xf numFmtId="49" fontId="5" fillId="0" borderId="1" xfId="0" applyNumberFormat="1" applyFont="1" applyFill="1" applyBorder="1" applyAlignment="1">
      <alignment horizontal="justify" vertical="center" wrapText="1"/>
    </xf>
    <xf numFmtId="49" fontId="11" fillId="0" borderId="1" xfId="0" applyNumberFormat="1" applyFont="1" applyBorder="1" applyAlignment="1">
      <alignment horizontal="justify" vertical="center"/>
    </xf>
    <xf numFmtId="0" fontId="21" fillId="13" borderId="1" xfId="0" applyFont="1" applyFill="1" applyBorder="1" applyAlignment="1">
      <alignment horizontal="justify" vertical="center" wrapText="1"/>
    </xf>
    <xf numFmtId="0" fontId="7" fillId="8" borderId="1" xfId="0" applyFont="1" applyFill="1" applyBorder="1" applyAlignment="1">
      <alignment horizontal="justify" vertical="center" wrapText="1"/>
    </xf>
    <xf numFmtId="0" fontId="7" fillId="6" borderId="8" xfId="0" applyFont="1" applyFill="1" applyBorder="1" applyAlignment="1">
      <alignment horizontal="justify" vertical="center" wrapText="1"/>
    </xf>
    <xf numFmtId="49" fontId="5" fillId="7" borderId="1" xfId="0" applyNumberFormat="1" applyFont="1" applyFill="1" applyBorder="1" applyAlignment="1">
      <alignment horizontal="center" vertical="center" wrapText="1"/>
    </xf>
    <xf numFmtId="168" fontId="10" fillId="0" borderId="1" xfId="0" applyNumberFormat="1" applyFont="1" applyFill="1" applyBorder="1" applyAlignment="1">
      <alignment horizontal="center" vertical="center" wrapText="1"/>
    </xf>
    <xf numFmtId="0" fontId="3" fillId="3" borderId="0" xfId="0" applyFont="1" applyFill="1" applyBorder="1"/>
    <xf numFmtId="0" fontId="26" fillId="3" borderId="0" xfId="0" applyFont="1" applyFill="1" applyBorder="1"/>
    <xf numFmtId="49" fontId="12" fillId="0" borderId="0" xfId="0" applyNumberFormat="1" applyFont="1" applyFill="1" applyAlignment="1">
      <alignment horizontal="center" vertical="center"/>
    </xf>
    <xf numFmtId="49"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8" fontId="12" fillId="0"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36" fillId="0" borderId="0" xfId="0" applyFont="1" applyFill="1" applyBorder="1" applyAlignment="1"/>
    <xf numFmtId="0" fontId="12" fillId="2" borderId="0" xfId="0" applyFont="1" applyFill="1" applyBorder="1"/>
    <xf numFmtId="0" fontId="0" fillId="0" borderId="0" xfId="0" applyFont="1"/>
    <xf numFmtId="0" fontId="12" fillId="2" borderId="0" xfId="0" applyFont="1" applyFill="1" applyBorder="1" applyAlignment="1">
      <alignment vertical="top"/>
    </xf>
    <xf numFmtId="0" fontId="37" fillId="2" borderId="0" xfId="0" applyFont="1" applyFill="1" applyBorder="1"/>
    <xf numFmtId="0" fontId="3" fillId="0" borderId="0" xfId="0" applyFont="1" applyFill="1" applyAlignment="1">
      <alignment vertical="center" wrapText="1"/>
    </xf>
    <xf numFmtId="0" fontId="0" fillId="0" borderId="0" xfId="0" applyFont="1" applyFill="1" applyAlignment="1">
      <alignment horizontal="center" vertical="center" wrapText="1"/>
    </xf>
    <xf numFmtId="0" fontId="11" fillId="0" borderId="0" xfId="0" applyFont="1" applyFill="1" applyAlignment="1">
      <alignment horizontal="right"/>
    </xf>
    <xf numFmtId="0" fontId="40" fillId="0" borderId="1" xfId="0" applyFont="1" applyFill="1" applyBorder="1" applyAlignment="1">
      <alignment horizontal="center" vertical="center" wrapText="1"/>
    </xf>
    <xf numFmtId="0" fontId="41" fillId="2" borderId="1"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0" xfId="0" applyFont="1" applyAlignment="1">
      <alignment horizontal="center"/>
    </xf>
    <xf numFmtId="0" fontId="20" fillId="3" borderId="1" xfId="0" applyFont="1" applyFill="1" applyBorder="1" applyAlignment="1">
      <alignment vertical="center" wrapText="1"/>
    </xf>
    <xf numFmtId="4" fontId="12" fillId="0" borderId="2" xfId="0"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0" fontId="17" fillId="6" borderId="1" xfId="0" applyFont="1" applyFill="1" applyBorder="1" applyAlignment="1">
      <alignment vertical="center" wrapText="1"/>
    </xf>
    <xf numFmtId="49" fontId="17" fillId="6" borderId="1" xfId="0" applyNumberFormat="1" applyFont="1" applyFill="1" applyBorder="1" applyAlignment="1">
      <alignment horizontal="center" vertical="center" wrapText="1" shrinkToFit="1"/>
    </xf>
    <xf numFmtId="4" fontId="17" fillId="15" borderId="2" xfId="0" applyNumberFormat="1" applyFont="1" applyFill="1" applyBorder="1" applyAlignment="1">
      <alignment horizontal="center" vertical="center" wrapText="1"/>
    </xf>
    <xf numFmtId="4" fontId="17" fillId="15" borderId="1" xfId="0" applyNumberFormat="1" applyFont="1" applyFill="1" applyBorder="1" applyAlignment="1">
      <alignment horizontal="center" vertical="center" wrapText="1"/>
    </xf>
    <xf numFmtId="0" fontId="44" fillId="0" borderId="0" xfId="0" applyFont="1" applyFill="1"/>
    <xf numFmtId="0" fontId="12" fillId="16" borderId="1" xfId="0" applyFont="1" applyFill="1" applyBorder="1" applyAlignment="1">
      <alignment vertical="center" wrapText="1"/>
    </xf>
    <xf numFmtId="49" fontId="12" fillId="16" borderId="1" xfId="0" applyNumberFormat="1" applyFont="1" applyFill="1" applyBorder="1" applyAlignment="1">
      <alignment horizontal="center" vertical="center" wrapText="1" shrinkToFit="1"/>
    </xf>
    <xf numFmtId="170" fontId="12" fillId="16" borderId="2" xfId="0" applyNumberFormat="1" applyFont="1" applyFill="1" applyBorder="1" applyAlignment="1">
      <alignment horizontal="center" vertical="center" wrapText="1"/>
    </xf>
    <xf numFmtId="170" fontId="12" fillId="17" borderId="1" xfId="0" applyNumberFormat="1" applyFont="1" applyFill="1" applyBorder="1" applyAlignment="1">
      <alignment horizontal="center" vertical="center" wrapText="1"/>
    </xf>
    <xf numFmtId="0" fontId="0" fillId="0" borderId="0" xfId="0" applyFont="1" applyFill="1"/>
    <xf numFmtId="0" fontId="0" fillId="4" borderId="0" xfId="0" applyFont="1" applyFill="1"/>
    <xf numFmtId="0" fontId="21" fillId="5" borderId="1" xfId="0" applyFont="1" applyFill="1" applyBorder="1" applyAlignment="1">
      <alignment vertical="center" wrapText="1"/>
    </xf>
    <xf numFmtId="49" fontId="5" fillId="5" borderId="1" xfId="0" applyNumberFormat="1" applyFont="1" applyFill="1" applyBorder="1" applyAlignment="1">
      <alignment horizontal="center" vertical="center" wrapText="1" shrinkToFit="1"/>
    </xf>
    <xf numFmtId="170" fontId="5" fillId="5" borderId="2" xfId="0" applyNumberFormat="1" applyFont="1" applyFill="1" applyBorder="1" applyAlignment="1">
      <alignment horizontal="center" vertical="center" wrapText="1"/>
    </xf>
    <xf numFmtId="170" fontId="16" fillId="5" borderId="1" xfId="0" applyNumberFormat="1" applyFont="1" applyFill="1" applyBorder="1" applyAlignment="1">
      <alignment horizontal="center" vertical="center" wrapText="1"/>
    </xf>
    <xf numFmtId="0" fontId="16" fillId="0" borderId="0" xfId="0" applyFont="1" applyFill="1"/>
    <xf numFmtId="0" fontId="16" fillId="0" borderId="0" xfId="0" applyFont="1"/>
    <xf numFmtId="0" fontId="21" fillId="0" borderId="1" xfId="0" applyFont="1" applyFill="1" applyBorder="1" applyAlignment="1">
      <alignment vertical="center" wrapText="1"/>
    </xf>
    <xf numFmtId="170" fontId="5" fillId="0" borderId="2" xfId="0" applyNumberFormat="1" applyFont="1" applyFill="1" applyBorder="1" applyAlignment="1">
      <alignment horizontal="center" vertical="center" wrapText="1"/>
    </xf>
    <xf numFmtId="170" fontId="5" fillId="0" borderId="1" xfId="0" applyNumberFormat="1" applyFont="1" applyFill="1" applyBorder="1" applyAlignment="1">
      <alignment horizontal="center" vertical="center" wrapText="1"/>
    </xf>
    <xf numFmtId="0" fontId="22" fillId="0" borderId="0" xfId="0" applyFont="1" applyFill="1"/>
    <xf numFmtId="168" fontId="7" fillId="0" borderId="2" xfId="0" applyNumberFormat="1" applyFont="1" applyFill="1" applyBorder="1" applyAlignment="1">
      <alignment horizontal="center" vertical="center" wrapText="1"/>
    </xf>
    <xf numFmtId="0" fontId="15" fillId="0" borderId="0" xfId="0" applyFont="1" applyFill="1" applyAlignment="1">
      <alignment vertical="center"/>
    </xf>
    <xf numFmtId="0" fontId="15" fillId="18" borderId="0" xfId="0" applyFont="1" applyFill="1" applyAlignment="1">
      <alignment vertical="center"/>
    </xf>
    <xf numFmtId="170" fontId="7" fillId="5" borderId="2" xfId="0" applyNumberFormat="1" applyFont="1" applyFill="1" applyBorder="1" applyAlignment="1">
      <alignment horizontal="center" vertical="center" wrapText="1"/>
    </xf>
    <xf numFmtId="170" fontId="5" fillId="5" borderId="1" xfId="0" applyNumberFormat="1" applyFont="1" applyFill="1" applyBorder="1" applyAlignment="1">
      <alignment horizontal="center" vertical="center" wrapText="1"/>
    </xf>
    <xf numFmtId="0" fontId="15" fillId="18" borderId="0" xfId="0" applyFont="1" applyFill="1"/>
    <xf numFmtId="0" fontId="19" fillId="0" borderId="1" xfId="0" applyFont="1" applyFill="1" applyBorder="1" applyAlignment="1">
      <alignment vertical="center" wrapText="1"/>
    </xf>
    <xf numFmtId="170" fontId="7" fillId="0" borderId="2" xfId="0" applyNumberFormat="1" applyFont="1" applyFill="1" applyBorder="1" applyAlignment="1">
      <alignment horizontal="center" vertical="center" wrapText="1"/>
    </xf>
    <xf numFmtId="0" fontId="5" fillId="0" borderId="1" xfId="0" applyFont="1" applyFill="1" applyBorder="1" applyAlignment="1">
      <alignment vertical="top" wrapText="1"/>
    </xf>
    <xf numFmtId="170" fontId="15" fillId="0" borderId="0" xfId="0" applyNumberFormat="1" applyFont="1" applyFill="1"/>
    <xf numFmtId="168" fontId="5" fillId="0" borderId="2" xfId="0" applyNumberFormat="1" applyFont="1" applyFill="1" applyBorder="1" applyAlignment="1">
      <alignment horizontal="center" vertical="center" wrapText="1"/>
    </xf>
    <xf numFmtId="168" fontId="10" fillId="0" borderId="2" xfId="0" applyNumberFormat="1" applyFont="1" applyFill="1" applyBorder="1" applyAlignment="1">
      <alignment horizontal="center" vertical="center" wrapText="1"/>
    </xf>
    <xf numFmtId="168" fontId="12" fillId="0" borderId="2" xfId="0" applyNumberFormat="1" applyFont="1" applyFill="1" applyBorder="1" applyAlignment="1">
      <alignment horizontal="center" vertical="center" wrapText="1"/>
    </xf>
    <xf numFmtId="2" fontId="12" fillId="0" borderId="0" xfId="0" applyNumberFormat="1" applyFont="1"/>
    <xf numFmtId="171" fontId="0" fillId="0" borderId="0" xfId="0" applyNumberFormat="1" applyFont="1" applyFill="1"/>
    <xf numFmtId="0" fontId="3" fillId="0" borderId="0" xfId="0" applyFont="1" applyFill="1" applyAlignment="1">
      <alignment vertical="justify"/>
    </xf>
    <xf numFmtId="49" fontId="0" fillId="0" borderId="0" xfId="0" applyNumberFormat="1" applyFont="1" applyFill="1"/>
    <xf numFmtId="2" fontId="0" fillId="0" borderId="0" xfId="0" applyNumberFormat="1" applyFont="1" applyFill="1"/>
    <xf numFmtId="166" fontId="0" fillId="0" borderId="0" xfId="0" applyNumberFormat="1" applyFont="1" applyFill="1"/>
    <xf numFmtId="0" fontId="12" fillId="0" borderId="1" xfId="0" applyFont="1" applyFill="1" applyBorder="1" applyAlignment="1">
      <alignment horizontal="center" vertical="center" wrapText="1"/>
    </xf>
    <xf numFmtId="0" fontId="12" fillId="0" borderId="0" xfId="0" applyFont="1" applyFill="1" applyAlignment="1">
      <alignment horizontal="right"/>
    </xf>
    <xf numFmtId="168" fontId="10" fillId="0" borderId="5"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5" fillId="3" borderId="0" xfId="0" applyFont="1" applyFill="1" applyAlignment="1">
      <alignment horizontal="right"/>
    </xf>
    <xf numFmtId="0" fontId="7" fillId="3" borderId="1"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4" fillId="3" borderId="0" xfId="0" applyFont="1" applyFill="1" applyAlignment="1">
      <alignment horizontal="center" vertical="center" wrapText="1"/>
    </xf>
    <xf numFmtId="0" fontId="10" fillId="0" borderId="1" xfId="2" applyFont="1" applyFill="1" applyBorder="1" applyAlignment="1">
      <alignment horizontal="center" vertical="center" wrapText="1"/>
    </xf>
    <xf numFmtId="0" fontId="1" fillId="0" borderId="0" xfId="2" applyFont="1" applyFill="1" applyAlignment="1">
      <alignment horizontal="right"/>
    </xf>
    <xf numFmtId="0" fontId="8" fillId="0" borderId="0" xfId="0" applyFont="1" applyFill="1" applyAlignment="1">
      <alignment horizontal="right"/>
    </xf>
    <xf numFmtId="164" fontId="1" fillId="0" borderId="0" xfId="1" applyFont="1" applyFill="1" applyAlignment="1">
      <alignment horizontal="right"/>
    </xf>
    <xf numFmtId="0" fontId="2" fillId="0" borderId="0" xfId="2" applyFont="1" applyFill="1" applyBorder="1" applyAlignment="1">
      <alignment horizontal="center" vertical="justify" wrapText="1"/>
    </xf>
    <xf numFmtId="0" fontId="8" fillId="0" borderId="0" xfId="0" applyFont="1" applyFill="1" applyAlignment="1">
      <alignment horizontal="center" vertical="justify" wrapText="1"/>
    </xf>
    <xf numFmtId="0" fontId="12" fillId="0" borderId="1" xfId="0" applyFont="1" applyFill="1" applyBorder="1" applyAlignment="1">
      <alignment horizontal="center" vertical="center" wrapText="1"/>
    </xf>
    <xf numFmtId="0" fontId="10" fillId="0" borderId="0" xfId="2" applyFont="1" applyFill="1" applyAlignment="1">
      <alignment horizontal="center" vertical="center" wrapText="1"/>
    </xf>
    <xf numFmtId="0" fontId="12" fillId="0" borderId="0" xfId="0" applyFont="1" applyFill="1" applyAlignment="1">
      <alignment horizontal="right"/>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166" fontId="10" fillId="0" borderId="5" xfId="0" applyNumberFormat="1" applyFont="1" applyFill="1" applyBorder="1" applyAlignment="1">
      <alignment horizontal="center" vertical="center" wrapText="1"/>
    </xf>
    <xf numFmtId="166" fontId="10" fillId="0" borderId="6" xfId="0" applyNumberFormat="1" applyFont="1" applyFill="1" applyBorder="1" applyAlignment="1">
      <alignment horizontal="center" vertical="center" wrapText="1"/>
    </xf>
    <xf numFmtId="168" fontId="10" fillId="0" borderId="5" xfId="0" applyNumberFormat="1" applyFont="1" applyFill="1" applyBorder="1" applyAlignment="1">
      <alignment horizontal="center" vertical="center" wrapText="1"/>
    </xf>
    <xf numFmtId="168" fontId="10" fillId="0" borderId="6" xfId="0" applyNumberFormat="1"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 xfId="0" applyFont="1" applyFill="1" applyBorder="1" applyAlignment="1">
      <alignment horizontal="center" vertical="center" wrapText="1"/>
    </xf>
    <xf numFmtId="0" fontId="12" fillId="3" borderId="0" xfId="0" applyFont="1" applyFill="1" applyAlignment="1">
      <alignment horizontal="right"/>
    </xf>
    <xf numFmtId="0" fontId="12" fillId="3" borderId="0" xfId="0" applyFont="1" applyFill="1" applyAlignment="1">
      <alignment horizontal="right" wrapText="1"/>
    </xf>
    <xf numFmtId="0" fontId="7" fillId="3" borderId="0" xfId="0" applyFont="1" applyFill="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5" fillId="3" borderId="0" xfId="0" applyFont="1" applyFill="1" applyAlignment="1">
      <alignment horizontal="right"/>
    </xf>
    <xf numFmtId="0" fontId="5" fillId="3" borderId="0" xfId="0" applyFont="1" applyFill="1" applyAlignment="1">
      <alignment horizontal="right" vertical="center"/>
    </xf>
    <xf numFmtId="0" fontId="7" fillId="3" borderId="0" xfId="0" applyFont="1" applyFill="1" applyAlignment="1">
      <alignment horizontal="center"/>
    </xf>
    <xf numFmtId="0" fontId="7" fillId="3" borderId="2" xfId="0" applyFont="1" applyFill="1" applyBorder="1" applyAlignment="1">
      <alignment horizontal="left" vertical="top" wrapText="1"/>
    </xf>
    <xf numFmtId="0" fontId="7" fillId="3" borderId="7" xfId="0" applyFont="1" applyFill="1" applyBorder="1" applyAlignment="1">
      <alignment horizontal="left" vertical="top" wrapText="1"/>
    </xf>
    <xf numFmtId="0" fontId="0" fillId="0" borderId="7" xfId="0" applyFont="1" applyBorder="1" applyAlignment="1"/>
    <xf numFmtId="0" fontId="16" fillId="3" borderId="8" xfId="0" applyFont="1" applyFill="1" applyBorder="1" applyAlignment="1">
      <alignment horizontal="center"/>
    </xf>
    <xf numFmtId="0" fontId="18" fillId="3" borderId="0" xfId="0" applyFont="1" applyFill="1" applyAlignment="1">
      <alignment horizontal="right"/>
    </xf>
    <xf numFmtId="0" fontId="6" fillId="3" borderId="0" xfId="0" applyFont="1" applyFill="1" applyAlignment="1">
      <alignment horizontal="right"/>
    </xf>
    <xf numFmtId="0" fontId="4" fillId="3" borderId="0" xfId="0" applyFont="1" applyFill="1" applyAlignment="1">
      <alignment horizontal="center" vertical="center" wrapText="1"/>
    </xf>
    <xf numFmtId="0" fontId="7" fillId="3" borderId="1" xfId="0" applyFont="1" applyFill="1" applyBorder="1" applyAlignment="1">
      <alignment horizontal="left" vertical="center" wrapText="1"/>
    </xf>
    <xf numFmtId="0" fontId="1" fillId="0" borderId="0" xfId="0" applyFont="1" applyAlignment="1">
      <alignment horizontal="right"/>
    </xf>
    <xf numFmtId="0" fontId="0" fillId="0" borderId="0" xfId="0" applyFont="1" applyFill="1" applyAlignment="1">
      <alignment horizontal="center"/>
    </xf>
    <xf numFmtId="0" fontId="1" fillId="0" borderId="0" xfId="0" applyFont="1" applyAlignment="1">
      <alignment horizontal="right" wrapText="1"/>
    </xf>
    <xf numFmtId="0" fontId="38" fillId="0" borderId="0" xfId="0" applyFont="1" applyFill="1" applyAlignment="1">
      <alignment horizontal="center" vertical="center" wrapText="1"/>
    </xf>
    <xf numFmtId="0" fontId="38" fillId="3" borderId="0" xfId="0" applyFont="1" applyFill="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40" fillId="0" borderId="1" xfId="0" applyFont="1" applyFill="1" applyBorder="1" applyAlignment="1">
      <alignment horizontal="center" vertical="center" wrapText="1"/>
    </xf>
  </cellXfs>
  <cellStyles count="4">
    <cellStyle name="Денежный 2" xfId="1"/>
    <cellStyle name="Обычный" xfId="0" builtinId="0"/>
    <cellStyle name="Обычный 2" xfId="2"/>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abith%20T\Desktop\____%20-%20&#1053;&#1055;&#1040;%20&#1086;&#1090;%2031.10.2024%20&#1075;.%20&#1055;&#1056;&#1048;&#1051;&#1054;&#1046;&#1045;&#1053;&#1048;&#1071;%20&#1082;%20&#1073;&#1102;&#1076;&#1078;&#1077;&#1090;&#109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1060;&#1080;&#1085;&#1072;&#1085;&#1089;&#1086;&#1074;&#1086;&#1077;%20&#1091;&#1087;&#1088;&#1072;&#1074;&#1083;&#1077;&#1085;&#1080;&#1077;/&#1054;&#1073;&#1097;&#1080;&#1077;%20&#1076;&#1086;&#1082;&#1091;&#1084;&#1077;&#1085;&#1090;&#1099;/&#1041;&#1070;&#1044;&#1046;&#1045;&#1058;&#1053;&#1067;&#1049;%20&#1054;&#1058;&#1044;&#1045;&#1051;/&#1041;&#1070;&#1044;&#1046;&#1045;&#1058;%20&#1056;&#1040;&#1049;&#1054;&#1053;&#1040;/&#1088;&#1077;&#1096;&#1077;&#1085;&#1080;&#1103;%20&#1086;%20&#1073;&#1102;&#1076;&#1078;&#1077;&#1090;&#1077;/2024%20&#1075;&#1086;&#1076;/170-&#1053;&#1055;&#1040;%20&#1086;&#1090;%2027.06.2024/170-&#1053;&#1055;&#1040;%20&#1086;&#1090;%2027.06.2024&#1075;.%20&#1055;&#1056;&#1048;&#1051;&#1054;&#1046;&#1045;&#1053;&#1048;&#1071;%20&#1082;%20&#1073;&#1102;&#1076;&#1078;&#1077;&#1090;&#1091;%202025-2026%20&#1075;&#1086;&#1076;&#109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
      <sheetName val="2  "/>
      <sheetName val="3"/>
      <sheetName val="4"/>
      <sheetName val="5"/>
      <sheetName val="6"/>
      <sheetName val="7"/>
    </sheetNames>
    <sheetDataSet>
      <sheetData sheetId="0"/>
      <sheetData sheetId="1"/>
      <sheetData sheetId="2"/>
      <sheetData sheetId="3"/>
      <sheetData sheetId="4">
        <row r="55">
          <cell r="D55">
            <v>166.65600000000001</v>
          </cell>
          <cell r="E55">
            <v>0</v>
          </cell>
          <cell r="F55">
            <v>0</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
      <sheetName val="2  "/>
      <sheetName val="3"/>
      <sheetName val="4"/>
      <sheetName val="5"/>
      <sheetName val="7"/>
      <sheetName val="10"/>
    </sheetNames>
    <sheetDataSet>
      <sheetData sheetId="0"/>
      <sheetData sheetId="1"/>
      <sheetData sheetId="2">
        <row r="815">
          <cell r="F815">
            <v>13034.59071</v>
          </cell>
          <cell r="G815">
            <v>13622.855009999999</v>
          </cell>
        </row>
        <row r="841">
          <cell r="H841">
            <v>14404.454879999999</v>
          </cell>
        </row>
      </sheetData>
      <sheetData sheetId="3">
        <row r="945">
          <cell r="G945">
            <v>5657.1770000000006</v>
          </cell>
          <cell r="H945">
            <v>5882.0349999999999</v>
          </cell>
          <cell r="I945">
            <v>6117.6030000000001</v>
          </cell>
        </row>
      </sheetData>
      <sheetData sheetId="4">
        <row r="51">
          <cell r="D51">
            <v>1470</v>
          </cell>
        </row>
      </sheetData>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4"/>
  <sheetViews>
    <sheetView tabSelected="1" view="pageBreakPreview" zoomScale="80" zoomScaleSheetLayoutView="80" workbookViewId="0">
      <selection activeCell="C20" sqref="C20"/>
    </sheetView>
  </sheetViews>
  <sheetFormatPr defaultColWidth="8.85546875" defaultRowHeight="12.75" x14ac:dyDescent="0.2"/>
  <cols>
    <col min="1" max="1" width="26.7109375" style="108" customWidth="1"/>
    <col min="2" max="2" width="35.7109375" style="108" customWidth="1"/>
    <col min="3" max="3" width="20.28515625" style="108" customWidth="1"/>
    <col min="4" max="5" width="19.7109375" style="108" customWidth="1"/>
    <col min="6" max="6" width="13.7109375" style="108" bestFit="1" customWidth="1"/>
    <col min="7" max="7" width="12.42578125" style="108" bestFit="1" customWidth="1"/>
    <col min="8" max="8" width="8.85546875" style="108"/>
    <col min="9" max="9" width="9.140625" style="108" bestFit="1" customWidth="1"/>
    <col min="10" max="10" width="11.7109375" style="108" bestFit="1" customWidth="1"/>
    <col min="11" max="16384" width="8.85546875" style="108"/>
  </cols>
  <sheetData>
    <row r="1" spans="1:7" ht="15.75" x14ac:dyDescent="0.25">
      <c r="A1" s="58"/>
      <c r="B1" s="59"/>
      <c r="C1" s="425" t="s">
        <v>118</v>
      </c>
      <c r="D1" s="425"/>
      <c r="E1" s="426"/>
    </row>
    <row r="2" spans="1:7" ht="15.75" x14ac:dyDescent="0.25">
      <c r="A2" s="58"/>
      <c r="B2" s="425" t="s">
        <v>219</v>
      </c>
      <c r="C2" s="425"/>
      <c r="D2" s="425"/>
      <c r="E2" s="426"/>
    </row>
    <row r="3" spans="1:7" ht="15.75" x14ac:dyDescent="0.25">
      <c r="A3" s="58"/>
      <c r="B3" s="427" t="s">
        <v>220</v>
      </c>
      <c r="C3" s="427"/>
      <c r="D3" s="427"/>
      <c r="E3" s="426"/>
    </row>
    <row r="4" spans="1:7" ht="15.75" x14ac:dyDescent="0.25">
      <c r="A4" s="58"/>
      <c r="B4" s="425" t="s">
        <v>1137</v>
      </c>
      <c r="C4" s="425"/>
      <c r="D4" s="425"/>
      <c r="E4" s="426"/>
    </row>
    <row r="5" spans="1:7" ht="15.75" x14ac:dyDescent="0.25">
      <c r="A5" s="58"/>
      <c r="B5" s="211"/>
      <c r="C5" s="211"/>
    </row>
    <row r="6" spans="1:7" ht="18.75" customHeight="1" x14ac:dyDescent="0.2">
      <c r="A6" s="428" t="s">
        <v>662</v>
      </c>
      <c r="B6" s="428"/>
      <c r="C6" s="428"/>
      <c r="D6" s="428"/>
      <c r="E6" s="429"/>
    </row>
    <row r="7" spans="1:7" ht="18.75" x14ac:dyDescent="0.2">
      <c r="A7" s="212"/>
      <c r="B7" s="212"/>
      <c r="C7" s="212"/>
    </row>
    <row r="8" spans="1:7" ht="16.5" x14ac:dyDescent="0.2">
      <c r="A8" s="60"/>
      <c r="B8" s="61"/>
      <c r="C8" s="61"/>
      <c r="D8" s="62"/>
      <c r="E8" s="62" t="s">
        <v>102</v>
      </c>
    </row>
    <row r="9" spans="1:7" ht="14.45" customHeight="1" x14ac:dyDescent="0.2">
      <c r="A9" s="424" t="s">
        <v>103</v>
      </c>
      <c r="B9" s="424" t="s">
        <v>1102</v>
      </c>
      <c r="C9" s="424" t="s">
        <v>575</v>
      </c>
      <c r="D9" s="424" t="s">
        <v>576</v>
      </c>
      <c r="E9" s="424" t="s">
        <v>653</v>
      </c>
    </row>
    <row r="10" spans="1:7" ht="16.899999999999999" customHeight="1" x14ac:dyDescent="0.2">
      <c r="A10" s="424"/>
      <c r="B10" s="424"/>
      <c r="C10" s="424"/>
      <c r="D10" s="424"/>
      <c r="E10" s="424"/>
    </row>
    <row r="11" spans="1:7" ht="17.45" customHeight="1" x14ac:dyDescent="0.2">
      <c r="A11" s="424"/>
      <c r="B11" s="424"/>
      <c r="C11" s="424"/>
      <c r="D11" s="424"/>
      <c r="E11" s="424"/>
    </row>
    <row r="12" spans="1:7" ht="55.15" customHeight="1" x14ac:dyDescent="0.2">
      <c r="A12" s="213" t="s">
        <v>177</v>
      </c>
      <c r="B12" s="64" t="s">
        <v>178</v>
      </c>
      <c r="C12" s="65">
        <f>C13+C14</f>
        <v>4266.8633499999996</v>
      </c>
      <c r="D12" s="65">
        <f>D13+D14</f>
        <v>4266.8633499999996</v>
      </c>
      <c r="E12" s="65">
        <f>E13+E14</f>
        <v>4266.8633499999996</v>
      </c>
    </row>
    <row r="13" spans="1:7" ht="47.25" x14ac:dyDescent="0.2">
      <c r="A13" s="66" t="s">
        <v>179</v>
      </c>
      <c r="B13" s="67" t="s">
        <v>180</v>
      </c>
      <c r="C13" s="109">
        <f>(-C17)+2500</f>
        <v>4266.8633499999996</v>
      </c>
      <c r="D13" s="109">
        <f>1766.86335+2500+2500</f>
        <v>6766.8633499999996</v>
      </c>
      <c r="E13" s="109">
        <f>1766.86335+2500+2500</f>
        <v>6766.8633499999996</v>
      </c>
    </row>
    <row r="14" spans="1:7" ht="63" x14ac:dyDescent="0.2">
      <c r="A14" s="63" t="s">
        <v>181</v>
      </c>
      <c r="B14" s="68" t="s">
        <v>182</v>
      </c>
      <c r="C14" s="109">
        <v>0</v>
      </c>
      <c r="D14" s="109">
        <v>-2500</v>
      </c>
      <c r="E14" s="109">
        <v>-2500</v>
      </c>
      <c r="G14" s="110"/>
    </row>
    <row r="15" spans="1:7" ht="47.25" x14ac:dyDescent="0.2">
      <c r="A15" s="213" t="s">
        <v>183</v>
      </c>
      <c r="B15" s="64" t="s">
        <v>184</v>
      </c>
      <c r="C15" s="65">
        <f>C16+C17</f>
        <v>-1766.8633500000001</v>
      </c>
      <c r="D15" s="65">
        <f>D16+D17</f>
        <v>-1766.8633500000001</v>
      </c>
      <c r="E15" s="65">
        <f>E16+E17</f>
        <v>-1766.8633500000001</v>
      </c>
      <c r="G15" s="206"/>
    </row>
    <row r="16" spans="1:7" ht="78.75" x14ac:dyDescent="0.2">
      <c r="A16" s="63" t="s">
        <v>133</v>
      </c>
      <c r="B16" s="69" t="s">
        <v>187</v>
      </c>
      <c r="C16" s="109">
        <v>0</v>
      </c>
      <c r="D16" s="109">
        <v>0</v>
      </c>
      <c r="E16" s="109">
        <v>0</v>
      </c>
    </row>
    <row r="17" spans="1:10" ht="78.75" x14ac:dyDescent="0.2">
      <c r="A17" s="66" t="s">
        <v>134</v>
      </c>
      <c r="B17" s="67" t="s">
        <v>188</v>
      </c>
      <c r="C17" s="109">
        <f>-(926.86335+840)</f>
        <v>-1766.8633500000001</v>
      </c>
      <c r="D17" s="109">
        <f>-(926.86335+840)</f>
        <v>-1766.8633500000001</v>
      </c>
      <c r="E17" s="109">
        <f>-(926.86335+840)</f>
        <v>-1766.8633500000001</v>
      </c>
      <c r="G17" s="110"/>
    </row>
    <row r="18" spans="1:10" ht="31.5" x14ac:dyDescent="0.2">
      <c r="A18" s="213" t="s">
        <v>207</v>
      </c>
      <c r="B18" s="64" t="s">
        <v>208</v>
      </c>
      <c r="C18" s="65">
        <f>C19+C20</f>
        <v>29649.352840000065</v>
      </c>
      <c r="D18" s="65">
        <f>D19+D20</f>
        <v>0</v>
      </c>
      <c r="E18" s="65">
        <f>E19+E20</f>
        <v>0</v>
      </c>
      <c r="G18" s="110"/>
      <c r="J18" s="110"/>
    </row>
    <row r="19" spans="1:10" ht="47.25" x14ac:dyDescent="0.2">
      <c r="A19" s="66" t="s">
        <v>0</v>
      </c>
      <c r="B19" s="67" t="s">
        <v>1</v>
      </c>
      <c r="C19" s="109">
        <f>-(882733.63979+C13+C16+8940+64.8+30128.66591+2970.98005-1489.302+1718.77754+24021.23669+1951.6+18452.39325+1730+2776.94982+4367.62295)</f>
        <v>-982634.22735000006</v>
      </c>
      <c r="D19" s="109">
        <f>-(754632.786+D13+D16)</f>
        <v>-761399.64934999996</v>
      </c>
      <c r="E19" s="109">
        <f>-(766856.98444+E13)</f>
        <v>-773623.84779000003</v>
      </c>
      <c r="F19" s="110"/>
      <c r="I19" s="111"/>
    </row>
    <row r="20" spans="1:10" ht="47.25" x14ac:dyDescent="0.2">
      <c r="A20" s="66" t="s">
        <v>2</v>
      </c>
      <c r="B20" s="67" t="s">
        <v>3</v>
      </c>
      <c r="C20" s="109">
        <f>(885233.63979+1766.86335+337.08981+29148.23733+8940+64.8+132.37872+2970.98005+30128.66591+31.64698-1489.302+1718.77754+24021.23669+1951.6+18452.39325+1730+2776.94982+4367.62295)</f>
        <v>1012283.5801900001</v>
      </c>
      <c r="D20" s="109">
        <f>(757132.786)+1766.86335+2500</f>
        <v>761399.64934999996</v>
      </c>
      <c r="E20" s="109">
        <f>(769356.98444+1766.86335+2500)</f>
        <v>773623.84779000003</v>
      </c>
      <c r="F20" s="110"/>
      <c r="G20" s="110"/>
    </row>
    <row r="21" spans="1:10" ht="15.75" x14ac:dyDescent="0.2">
      <c r="A21" s="213"/>
      <c r="B21" s="70" t="s">
        <v>189</v>
      </c>
      <c r="C21" s="65">
        <f>C12+C15+C18</f>
        <v>32149.352840000065</v>
      </c>
      <c r="D21" s="65">
        <f>D12+D15+D18</f>
        <v>2499.9999999999995</v>
      </c>
      <c r="E21" s="65">
        <f>E12+E15+E18</f>
        <v>2499.9999999999995</v>
      </c>
    </row>
    <row r="22" spans="1:10" x14ac:dyDescent="0.2">
      <c r="C22" s="110"/>
    </row>
    <row r="23" spans="1:10" x14ac:dyDescent="0.2">
      <c r="C23" s="110"/>
      <c r="D23" s="110"/>
    </row>
    <row r="24" spans="1:10" x14ac:dyDescent="0.2">
      <c r="C24" s="110"/>
    </row>
  </sheetData>
  <mergeCells count="10">
    <mergeCell ref="C1:E1"/>
    <mergeCell ref="B2:E2"/>
    <mergeCell ref="B3:E3"/>
    <mergeCell ref="B4:E4"/>
    <mergeCell ref="A6:E6"/>
    <mergeCell ref="A9:A11"/>
    <mergeCell ref="B9:B11"/>
    <mergeCell ref="C9:C11"/>
    <mergeCell ref="D9:D11"/>
    <mergeCell ref="E9:E11"/>
  </mergeCell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Q116"/>
  <sheetViews>
    <sheetView view="pageBreakPreview" zoomScale="90" zoomScaleSheetLayoutView="90" workbookViewId="0">
      <selection activeCell="B23" sqref="B23"/>
    </sheetView>
  </sheetViews>
  <sheetFormatPr defaultColWidth="13.28515625" defaultRowHeight="15.75" x14ac:dyDescent="0.25"/>
  <cols>
    <col min="1" max="1" width="25.85546875" style="106" customWidth="1"/>
    <col min="2" max="2" width="87.85546875" style="31" customWidth="1"/>
    <col min="3" max="3" width="16" style="104" hidden="1" customWidth="1"/>
    <col min="4" max="4" width="17.5703125" style="24" customWidth="1"/>
    <col min="5" max="5" width="20.5703125" style="24" customWidth="1"/>
    <col min="6" max="6" width="20" style="31" customWidth="1"/>
    <col min="7" max="7" width="8.85546875" style="104" customWidth="1"/>
    <col min="8" max="8" width="13.85546875" style="104" customWidth="1"/>
    <col min="9" max="241" width="8.85546875" style="104" customWidth="1"/>
    <col min="242" max="242" width="24" style="104" customWidth="1"/>
    <col min="243" max="243" width="9.140625" style="104" customWidth="1"/>
    <col min="244" max="244" width="51.5703125" style="104" customWidth="1"/>
    <col min="245" max="246" width="0" style="104" hidden="1" customWidth="1"/>
    <col min="247" max="247" width="16.7109375" style="104" customWidth="1"/>
    <col min="248" max="248" width="0" style="104" hidden="1" customWidth="1"/>
    <col min="249" max="249" width="16.7109375" style="104" customWidth="1"/>
    <col min="250" max="250" width="0" style="104" hidden="1" customWidth="1"/>
    <col min="251" max="16384" width="13.28515625" style="104"/>
  </cols>
  <sheetData>
    <row r="1" spans="1:6" x14ac:dyDescent="0.25">
      <c r="C1" s="417" t="s">
        <v>448</v>
      </c>
      <c r="D1" s="432" t="s">
        <v>1004</v>
      </c>
      <c r="E1" s="432"/>
      <c r="F1" s="432"/>
    </row>
    <row r="2" spans="1:6" x14ac:dyDescent="0.25">
      <c r="C2" s="417"/>
      <c r="D2" s="432" t="s">
        <v>1091</v>
      </c>
      <c r="E2" s="432"/>
      <c r="F2" s="432"/>
    </row>
    <row r="3" spans="1:6" x14ac:dyDescent="0.25">
      <c r="C3" s="417"/>
      <c r="D3" s="432" t="s">
        <v>220</v>
      </c>
      <c r="E3" s="432"/>
      <c r="F3" s="432"/>
    </row>
    <row r="4" spans="1:6" x14ac:dyDescent="0.25">
      <c r="C4" s="417"/>
      <c r="D4" s="432" t="s">
        <v>1138</v>
      </c>
      <c r="E4" s="432"/>
      <c r="F4" s="432"/>
    </row>
    <row r="5" spans="1:6" x14ac:dyDescent="0.25">
      <c r="C5" s="107"/>
    </row>
    <row r="6" spans="1:6" ht="18.75" customHeight="1" x14ac:dyDescent="0.25">
      <c r="A6" s="431" t="s">
        <v>652</v>
      </c>
      <c r="B6" s="431"/>
      <c r="C6" s="431"/>
      <c r="D6" s="431"/>
      <c r="E6" s="431"/>
      <c r="F6" s="431"/>
    </row>
    <row r="7" spans="1:6" x14ac:dyDescent="0.25">
      <c r="A7" s="293"/>
      <c r="B7" s="294"/>
      <c r="C7" s="295"/>
      <c r="F7" s="101"/>
    </row>
    <row r="8" spans="1:6" ht="15.75" customHeight="1" x14ac:dyDescent="0.25">
      <c r="A8" s="433" t="s">
        <v>103</v>
      </c>
      <c r="B8" s="433" t="s">
        <v>204</v>
      </c>
      <c r="C8" s="435" t="s">
        <v>278</v>
      </c>
      <c r="D8" s="437" t="s">
        <v>500</v>
      </c>
      <c r="E8" s="437" t="s">
        <v>567</v>
      </c>
      <c r="F8" s="437" t="s">
        <v>637</v>
      </c>
    </row>
    <row r="9" spans="1:6" x14ac:dyDescent="0.25">
      <c r="A9" s="434"/>
      <c r="B9" s="434"/>
      <c r="C9" s="436"/>
      <c r="D9" s="438"/>
      <c r="E9" s="438"/>
      <c r="F9" s="438"/>
    </row>
    <row r="10" spans="1:6" x14ac:dyDescent="0.25">
      <c r="A10" s="355" t="s">
        <v>138</v>
      </c>
      <c r="B10" s="71" t="s">
        <v>139</v>
      </c>
      <c r="C10" s="25">
        <f>C11+C13+C15+C20+C22+C29+C31+C34+C38+C39</f>
        <v>213214.3</v>
      </c>
      <c r="D10" s="25">
        <f>D11+D13+D15+D20+D22+D29+D31+D34+D38+D39</f>
        <v>317608.60399999999</v>
      </c>
      <c r="E10" s="25">
        <f>E11+E13+E15+E20+E22+E29+E31+E34+E38+E39</f>
        <v>274426</v>
      </c>
      <c r="F10" s="25">
        <f>F11+F13+F15+F20+F22+F29+F31+F34+F38+F39</f>
        <v>270765</v>
      </c>
    </row>
    <row r="11" spans="1:6" x14ac:dyDescent="0.25">
      <c r="A11" s="355" t="s">
        <v>140</v>
      </c>
      <c r="B11" s="71" t="s">
        <v>144</v>
      </c>
      <c r="C11" s="25">
        <f>SUM(C12)</f>
        <v>178061</v>
      </c>
      <c r="D11" s="25">
        <f>SUM(D12)</f>
        <v>261616</v>
      </c>
      <c r="E11" s="25">
        <f>SUM(E12)</f>
        <v>228349</v>
      </c>
      <c r="F11" s="25">
        <f>SUM(F12)</f>
        <v>223372</v>
      </c>
    </row>
    <row r="12" spans="1:6" x14ac:dyDescent="0.25">
      <c r="A12" s="416" t="s">
        <v>217</v>
      </c>
      <c r="B12" s="72" t="s">
        <v>145</v>
      </c>
      <c r="C12" s="26">
        <v>178061</v>
      </c>
      <c r="D12" s="14">
        <f>223116+2000+6500+18000+12000</f>
        <v>261616</v>
      </c>
      <c r="E12" s="14">
        <v>228349</v>
      </c>
      <c r="F12" s="14">
        <v>223372</v>
      </c>
    </row>
    <row r="13" spans="1:6" ht="31.5" x14ac:dyDescent="0.25">
      <c r="A13" s="355" t="s">
        <v>242</v>
      </c>
      <c r="B13" s="71" t="s">
        <v>243</v>
      </c>
      <c r="C13" s="25">
        <f>SUM(C14)</f>
        <v>15464</v>
      </c>
      <c r="D13" s="25">
        <f>SUM(D14)</f>
        <v>21015</v>
      </c>
      <c r="E13" s="25">
        <f>SUM(E14)</f>
        <v>22508</v>
      </c>
      <c r="F13" s="25">
        <f>SUM(F14)</f>
        <v>23428</v>
      </c>
    </row>
    <row r="14" spans="1:6" ht="31.5" x14ac:dyDescent="0.25">
      <c r="A14" s="416" t="s">
        <v>240</v>
      </c>
      <c r="B14" s="72" t="s">
        <v>241</v>
      </c>
      <c r="C14" s="26">
        <v>15464</v>
      </c>
      <c r="D14" s="14">
        <v>21015</v>
      </c>
      <c r="E14" s="14">
        <v>22508</v>
      </c>
      <c r="F14" s="14">
        <v>23428</v>
      </c>
    </row>
    <row r="15" spans="1:6" x14ac:dyDescent="0.25">
      <c r="A15" s="355" t="s">
        <v>146</v>
      </c>
      <c r="B15" s="71" t="s">
        <v>148</v>
      </c>
      <c r="C15" s="25">
        <f>SUM(C16:C19)</f>
        <v>1576.4</v>
      </c>
      <c r="D15" s="25">
        <f>SUM(D16:D19)</f>
        <v>6835</v>
      </c>
      <c r="E15" s="25">
        <f>SUM(E16:E19)</f>
        <v>7019</v>
      </c>
      <c r="F15" s="25">
        <f>SUM(F16:F19)</f>
        <v>7213</v>
      </c>
    </row>
    <row r="16" spans="1:6" x14ac:dyDescent="0.25">
      <c r="A16" s="416" t="s">
        <v>1092</v>
      </c>
      <c r="B16" s="72" t="s">
        <v>357</v>
      </c>
      <c r="C16" s="26">
        <v>293.39999999999998</v>
      </c>
      <c r="D16" s="26">
        <f>503+85+0.29367+35+0.70633+190+17</f>
        <v>831</v>
      </c>
      <c r="E16" s="26">
        <v>523</v>
      </c>
      <c r="F16" s="14">
        <v>544</v>
      </c>
    </row>
    <row r="17" spans="1:6" x14ac:dyDescent="0.25">
      <c r="A17" s="416" t="s">
        <v>1093</v>
      </c>
      <c r="B17" s="72" t="s">
        <v>1094</v>
      </c>
      <c r="C17" s="26"/>
      <c r="D17" s="26">
        <f>3.255+10+0.745+7</f>
        <v>21</v>
      </c>
      <c r="E17" s="26">
        <v>0</v>
      </c>
      <c r="F17" s="14">
        <v>0</v>
      </c>
    </row>
    <row r="18" spans="1:6" x14ac:dyDescent="0.25">
      <c r="A18" s="416" t="s">
        <v>228</v>
      </c>
      <c r="B18" s="72" t="s">
        <v>149</v>
      </c>
      <c r="C18" s="26">
        <v>1213</v>
      </c>
      <c r="D18" s="14">
        <f>2749-1500</f>
        <v>1249</v>
      </c>
      <c r="E18" s="14">
        <v>2818</v>
      </c>
      <c r="F18" s="14">
        <v>2888</v>
      </c>
    </row>
    <row r="19" spans="1:6" ht="31.5" x14ac:dyDescent="0.25">
      <c r="A19" s="416" t="s">
        <v>244</v>
      </c>
      <c r="B19" s="72" t="s">
        <v>245</v>
      </c>
      <c r="C19" s="26">
        <v>70</v>
      </c>
      <c r="D19" s="14">
        <f>3578+505.64+0.36+650</f>
        <v>4734</v>
      </c>
      <c r="E19" s="14">
        <v>3678</v>
      </c>
      <c r="F19" s="14">
        <v>3781</v>
      </c>
    </row>
    <row r="20" spans="1:6" x14ac:dyDescent="0.25">
      <c r="A20" s="355" t="s">
        <v>150</v>
      </c>
      <c r="B20" s="71" t="s">
        <v>151</v>
      </c>
      <c r="C20" s="25">
        <f>SUM(C21:C21)</f>
        <v>3052</v>
      </c>
      <c r="D20" s="25">
        <f>SUM(D21:D21)</f>
        <v>4900</v>
      </c>
      <c r="E20" s="25">
        <f>SUM(E21:E21)</f>
        <v>2515</v>
      </c>
      <c r="F20" s="25">
        <f>SUM(F21:F21)</f>
        <v>2515</v>
      </c>
    </row>
    <row r="21" spans="1:6" ht="31.5" x14ac:dyDescent="0.25">
      <c r="A21" s="416" t="s">
        <v>246</v>
      </c>
      <c r="B21" s="72" t="s">
        <v>568</v>
      </c>
      <c r="C21" s="26">
        <v>3052</v>
      </c>
      <c r="D21" s="14">
        <f>2545+220+265+500+820+550</f>
        <v>4900</v>
      </c>
      <c r="E21" s="14">
        <v>2515</v>
      </c>
      <c r="F21" s="14">
        <v>2515</v>
      </c>
    </row>
    <row r="22" spans="1:6" ht="31.5" x14ac:dyDescent="0.25">
      <c r="A22" s="355" t="s">
        <v>152</v>
      </c>
      <c r="B22" s="71" t="s">
        <v>229</v>
      </c>
      <c r="C22" s="25">
        <f>SUM(C23:C27)</f>
        <v>13196.900000000001</v>
      </c>
      <c r="D22" s="25">
        <f>SUM(D23:D28)</f>
        <v>13729.314000000002</v>
      </c>
      <c r="E22" s="25">
        <f>SUM(E23:E27)</f>
        <v>10299</v>
      </c>
      <c r="F22" s="25">
        <f>SUM(F23:F27)</f>
        <v>10478</v>
      </c>
    </row>
    <row r="23" spans="1:6" ht="78.75" x14ac:dyDescent="0.25">
      <c r="A23" s="416" t="s">
        <v>4</v>
      </c>
      <c r="B23" s="72" t="s">
        <v>261</v>
      </c>
      <c r="C23" s="26">
        <v>2267.1</v>
      </c>
      <c r="D23" s="14">
        <f>1235+144.17</f>
        <v>1379.17</v>
      </c>
      <c r="E23" s="14">
        <v>1235</v>
      </c>
      <c r="F23" s="14">
        <v>1235</v>
      </c>
    </row>
    <row r="24" spans="1:6" ht="63" customHeight="1" x14ac:dyDescent="0.25">
      <c r="A24" s="416" t="s">
        <v>128</v>
      </c>
      <c r="B24" s="72" t="s">
        <v>492</v>
      </c>
      <c r="C24" s="26">
        <v>7300</v>
      </c>
      <c r="D24" s="14">
        <f>5250+1100+300</f>
        <v>6650</v>
      </c>
      <c r="E24" s="14">
        <v>5250</v>
      </c>
      <c r="F24" s="14">
        <v>5250</v>
      </c>
    </row>
    <row r="25" spans="1:6" ht="63" x14ac:dyDescent="0.25">
      <c r="A25" s="416" t="s">
        <v>191</v>
      </c>
      <c r="B25" s="72" t="s">
        <v>131</v>
      </c>
      <c r="C25" s="26">
        <v>116</v>
      </c>
      <c r="D25" s="14">
        <f>210+121.87</f>
        <v>331.87</v>
      </c>
      <c r="E25" s="14">
        <v>210</v>
      </c>
      <c r="F25" s="14">
        <v>210</v>
      </c>
    </row>
    <row r="26" spans="1:6" ht="47.25" x14ac:dyDescent="0.25">
      <c r="A26" s="416" t="s">
        <v>114</v>
      </c>
      <c r="B26" s="72" t="s">
        <v>230</v>
      </c>
      <c r="C26" s="26">
        <v>3203.8</v>
      </c>
      <c r="D26" s="14">
        <f>3+30+7</f>
        <v>40</v>
      </c>
      <c r="E26" s="14">
        <v>31</v>
      </c>
      <c r="F26" s="14">
        <v>32</v>
      </c>
    </row>
    <row r="27" spans="1:6" ht="31.5" x14ac:dyDescent="0.25">
      <c r="A27" s="416" t="s">
        <v>198</v>
      </c>
      <c r="B27" s="72" t="s">
        <v>199</v>
      </c>
      <c r="C27" s="26">
        <v>310</v>
      </c>
      <c r="D27" s="14">
        <f>3403+1825.28+67.6</f>
        <v>5295.88</v>
      </c>
      <c r="E27" s="14">
        <v>3573</v>
      </c>
      <c r="F27" s="14">
        <v>3751</v>
      </c>
    </row>
    <row r="28" spans="1:6" ht="126" x14ac:dyDescent="0.25">
      <c r="A28" s="416" t="s">
        <v>1085</v>
      </c>
      <c r="B28" s="72" t="s">
        <v>1086</v>
      </c>
      <c r="C28" s="26"/>
      <c r="D28" s="14">
        <v>32.393999999999998</v>
      </c>
      <c r="E28" s="14">
        <v>0</v>
      </c>
      <c r="F28" s="14">
        <v>0</v>
      </c>
    </row>
    <row r="29" spans="1:6" x14ac:dyDescent="0.25">
      <c r="A29" s="355" t="s">
        <v>153</v>
      </c>
      <c r="B29" s="71" t="s">
        <v>154</v>
      </c>
      <c r="C29" s="25">
        <f>SUM(C30)</f>
        <v>475</v>
      </c>
      <c r="D29" s="25">
        <f>SUM(D30)</f>
        <v>906</v>
      </c>
      <c r="E29" s="25">
        <f>SUM(E30)</f>
        <v>940</v>
      </c>
      <c r="F29" s="25">
        <f>SUM(F30)</f>
        <v>940</v>
      </c>
    </row>
    <row r="30" spans="1:6" ht="22.5" customHeight="1" x14ac:dyDescent="0.25">
      <c r="A30" s="416" t="s">
        <v>218</v>
      </c>
      <c r="B30" s="72" t="s">
        <v>155</v>
      </c>
      <c r="C30" s="26">
        <v>475</v>
      </c>
      <c r="D30" s="14">
        <f>940-160+126</f>
        <v>906</v>
      </c>
      <c r="E30" s="14">
        <v>940</v>
      </c>
      <c r="F30" s="14">
        <v>940</v>
      </c>
    </row>
    <row r="31" spans="1:6" ht="34.5" customHeight="1" x14ac:dyDescent="0.25">
      <c r="A31" s="355" t="s">
        <v>156</v>
      </c>
      <c r="B31" s="71" t="s">
        <v>157</v>
      </c>
      <c r="C31" s="25">
        <f>SUM(C33:C33)</f>
        <v>1139</v>
      </c>
      <c r="D31" s="25">
        <f>D33+D32</f>
        <v>1296.6100000000001</v>
      </c>
      <c r="E31" s="25">
        <f>E33+E32</f>
        <v>902</v>
      </c>
      <c r="F31" s="25">
        <f>F33+F32</f>
        <v>935</v>
      </c>
    </row>
    <row r="32" spans="1:6" ht="34.5" customHeight="1" x14ac:dyDescent="0.25">
      <c r="A32" s="416" t="s">
        <v>617</v>
      </c>
      <c r="B32" s="72" t="s">
        <v>618</v>
      </c>
      <c r="C32" s="26">
        <v>1139</v>
      </c>
      <c r="D32" s="14">
        <f>868+58.61+70</f>
        <v>996.61</v>
      </c>
      <c r="E32" s="14">
        <v>902</v>
      </c>
      <c r="F32" s="14">
        <v>935</v>
      </c>
    </row>
    <row r="33" spans="1:11" x14ac:dyDescent="0.25">
      <c r="A33" s="416" t="s">
        <v>231</v>
      </c>
      <c r="B33" s="72" t="s">
        <v>232</v>
      </c>
      <c r="C33" s="26">
        <v>1139</v>
      </c>
      <c r="D33" s="14">
        <f>222+60+18</f>
        <v>300</v>
      </c>
      <c r="E33" s="14">
        <v>0</v>
      </c>
      <c r="F33" s="14">
        <v>0</v>
      </c>
    </row>
    <row r="34" spans="1:11" ht="31.5" x14ac:dyDescent="0.25">
      <c r="A34" s="355" t="s">
        <v>158</v>
      </c>
      <c r="B34" s="71" t="s">
        <v>159</v>
      </c>
      <c r="C34" s="25">
        <f>SUM(C35:C37)</f>
        <v>250</v>
      </c>
      <c r="D34" s="25">
        <f>SUM(D35:D37)</f>
        <v>4372.9500000000025</v>
      </c>
      <c r="E34" s="25">
        <f>SUM(E35:E37)</f>
        <v>300</v>
      </c>
      <c r="F34" s="25">
        <f>SUM(F35:F37)</f>
        <v>300</v>
      </c>
    </row>
    <row r="35" spans="1:11" ht="63" x14ac:dyDescent="0.25">
      <c r="A35" s="416" t="s">
        <v>233</v>
      </c>
      <c r="B35" s="72" t="s">
        <v>238</v>
      </c>
      <c r="C35" s="26">
        <v>0</v>
      </c>
      <c r="D35" s="14">
        <f>3250.05834+16621.51667-16752.05018-562.17483</f>
        <v>2557.3500000000022</v>
      </c>
      <c r="E35" s="14">
        <v>0</v>
      </c>
      <c r="F35" s="14">
        <v>0</v>
      </c>
    </row>
    <row r="36" spans="1:11" ht="47.25" x14ac:dyDescent="0.25">
      <c r="A36" s="416" t="s">
        <v>1123</v>
      </c>
      <c r="B36" s="72" t="s">
        <v>1124</v>
      </c>
      <c r="C36" s="26"/>
      <c r="D36" s="14">
        <v>11.6</v>
      </c>
      <c r="E36" s="14">
        <v>0</v>
      </c>
      <c r="F36" s="14">
        <v>0</v>
      </c>
    </row>
    <row r="37" spans="1:11" ht="38.25" customHeight="1" x14ac:dyDescent="0.25">
      <c r="A37" s="416" t="s">
        <v>268</v>
      </c>
      <c r="B37" s="72" t="s">
        <v>269</v>
      </c>
      <c r="C37" s="26">
        <v>250</v>
      </c>
      <c r="D37" s="14">
        <f>350+821.05005+222.26687+100+17.68308+293</f>
        <v>1804</v>
      </c>
      <c r="E37" s="14">
        <v>300</v>
      </c>
      <c r="F37" s="14">
        <v>300</v>
      </c>
    </row>
    <row r="38" spans="1:11" x14ac:dyDescent="0.25">
      <c r="A38" s="355" t="s">
        <v>160</v>
      </c>
      <c r="B38" s="71" t="s">
        <v>161</v>
      </c>
      <c r="C38" s="25">
        <v>0</v>
      </c>
      <c r="D38" s="27">
        <f>1170+600+80+150+100+300</f>
        <v>2400</v>
      </c>
      <c r="E38" s="27">
        <v>1170</v>
      </c>
      <c r="F38" s="27">
        <v>1160</v>
      </c>
    </row>
    <row r="39" spans="1:11" x14ac:dyDescent="0.25">
      <c r="A39" s="355" t="s">
        <v>192</v>
      </c>
      <c r="B39" s="71" t="s">
        <v>193</v>
      </c>
      <c r="C39" s="25">
        <f>SUM(C40)</f>
        <v>0</v>
      </c>
      <c r="D39" s="25">
        <f>SUM(D40)</f>
        <v>537.73</v>
      </c>
      <c r="E39" s="25">
        <f>SUM(E40)</f>
        <v>424</v>
      </c>
      <c r="F39" s="25">
        <f>SUM(F40)</f>
        <v>424</v>
      </c>
    </row>
    <row r="40" spans="1:11" x14ac:dyDescent="0.25">
      <c r="A40" s="416" t="s">
        <v>195</v>
      </c>
      <c r="B40" s="72" t="s">
        <v>196</v>
      </c>
      <c r="C40" s="26">
        <v>0</v>
      </c>
      <c r="D40" s="26">
        <f>424+64.8+48.93</f>
        <v>537.73</v>
      </c>
      <c r="E40" s="26">
        <v>424</v>
      </c>
      <c r="F40" s="26">
        <v>424</v>
      </c>
    </row>
    <row r="41" spans="1:11" x14ac:dyDescent="0.25">
      <c r="A41" s="355" t="s">
        <v>162</v>
      </c>
      <c r="B41" s="71" t="s">
        <v>362</v>
      </c>
      <c r="C41" s="25" t="e">
        <f>C42</f>
        <v>#REF!</v>
      </c>
      <c r="D41" s="25">
        <f>D42</f>
        <v>660758.76</v>
      </c>
      <c r="E41" s="25">
        <f>E42</f>
        <v>480206.78599999991</v>
      </c>
      <c r="F41" s="25">
        <f>F42</f>
        <v>496091.98444000003</v>
      </c>
    </row>
    <row r="42" spans="1:11" ht="31.5" x14ac:dyDescent="0.25">
      <c r="A42" s="416" t="s">
        <v>163</v>
      </c>
      <c r="B42" s="72" t="s">
        <v>363</v>
      </c>
      <c r="C42" s="25" t="e">
        <f>C43+C47+C73+#REF!</f>
        <v>#REF!</v>
      </c>
      <c r="D42" s="25">
        <f>D43+D47+D73+D98</f>
        <v>660758.76</v>
      </c>
      <c r="E42" s="25">
        <f>E43+E47+E73+E98</f>
        <v>480206.78599999991</v>
      </c>
      <c r="F42" s="25">
        <f>F43+F47+F73+F98</f>
        <v>496091.98444000003</v>
      </c>
    </row>
    <row r="43" spans="1:11" x14ac:dyDescent="0.25">
      <c r="A43" s="355" t="s">
        <v>351</v>
      </c>
      <c r="B43" s="71" t="s">
        <v>164</v>
      </c>
      <c r="C43" s="25">
        <f>C44+C45</f>
        <v>0</v>
      </c>
      <c r="D43" s="27">
        <f>D44+D45+D46</f>
        <v>125840.85086999999</v>
      </c>
      <c r="E43" s="27">
        <f>E44+E45</f>
        <v>22770.538</v>
      </c>
      <c r="F43" s="27">
        <f>F44+F45</f>
        <v>22770.538</v>
      </c>
    </row>
    <row r="44" spans="1:11" ht="31.5" x14ac:dyDescent="0.25">
      <c r="A44" s="416" t="s">
        <v>358</v>
      </c>
      <c r="B44" s="72" t="s">
        <v>115</v>
      </c>
      <c r="C44" s="26"/>
      <c r="D44" s="14">
        <v>90588.362999999998</v>
      </c>
      <c r="E44" s="14">
        <v>22770.538</v>
      </c>
      <c r="F44" s="14">
        <v>22770.538</v>
      </c>
      <c r="G44" s="287"/>
      <c r="H44" s="103"/>
      <c r="I44" s="103"/>
      <c r="J44" s="103"/>
      <c r="K44" s="103"/>
    </row>
    <row r="45" spans="1:11" ht="31.5" x14ac:dyDescent="0.25">
      <c r="A45" s="416" t="s">
        <v>303</v>
      </c>
      <c r="B45" s="72" t="s">
        <v>202</v>
      </c>
      <c r="C45" s="26"/>
      <c r="D45" s="14">
        <f>10176.06+23346.42787</f>
        <v>33522.487869999997</v>
      </c>
      <c r="E45" s="14">
        <v>0</v>
      </c>
      <c r="F45" s="14">
        <v>0</v>
      </c>
      <c r="G45" s="287"/>
      <c r="H45" s="103"/>
      <c r="I45" s="103"/>
      <c r="J45" s="103"/>
      <c r="K45" s="103"/>
    </row>
    <row r="46" spans="1:11" ht="21" customHeight="1" x14ac:dyDescent="0.25">
      <c r="A46" s="416" t="s">
        <v>1134</v>
      </c>
      <c r="B46" s="430" t="s">
        <v>1135</v>
      </c>
      <c r="C46" s="430"/>
      <c r="D46" s="14">
        <v>1730</v>
      </c>
      <c r="E46" s="14">
        <v>0</v>
      </c>
      <c r="F46" s="14">
        <v>0</v>
      </c>
      <c r="G46" s="287"/>
      <c r="H46" s="103"/>
      <c r="I46" s="103"/>
      <c r="J46" s="103"/>
      <c r="K46" s="103"/>
    </row>
    <row r="47" spans="1:11" ht="31.5" x14ac:dyDescent="0.25">
      <c r="A47" s="355" t="s">
        <v>493</v>
      </c>
      <c r="B47" s="71" t="s">
        <v>147</v>
      </c>
      <c r="C47" s="25" t="e">
        <f>C58+#REF!</f>
        <v>#REF!</v>
      </c>
      <c r="D47" s="27">
        <f>D58+D48+D53+D52+D54+D55+D56+D49+D50+D51+D57</f>
        <v>109252.38514</v>
      </c>
      <c r="E47" s="27">
        <f>E58+E48+E53+E52+E54+E55+E56</f>
        <v>8132.3484100000005</v>
      </c>
      <c r="F47" s="27">
        <f>F58+F48+F53+F52+F54+F55+F56</f>
        <v>4144.6785300000001</v>
      </c>
      <c r="G47" s="287"/>
      <c r="H47" s="103"/>
      <c r="I47" s="103"/>
      <c r="J47" s="103"/>
      <c r="K47" s="103"/>
    </row>
    <row r="48" spans="1:11" ht="47.25" x14ac:dyDescent="0.25">
      <c r="A48" s="416" t="s">
        <v>571</v>
      </c>
      <c r="B48" s="72" t="s">
        <v>1053</v>
      </c>
      <c r="C48" s="26"/>
      <c r="D48" s="14">
        <v>714.87494000000004</v>
      </c>
      <c r="E48" s="14">
        <v>0</v>
      </c>
      <c r="F48" s="14">
        <v>0</v>
      </c>
      <c r="G48" s="287"/>
      <c r="H48" s="103"/>
      <c r="I48" s="103"/>
      <c r="J48" s="103"/>
      <c r="K48" s="103"/>
    </row>
    <row r="49" spans="1:11" ht="47.25" x14ac:dyDescent="0.25">
      <c r="A49" s="416" t="s">
        <v>640</v>
      </c>
      <c r="B49" s="72" t="s">
        <v>1026</v>
      </c>
      <c r="C49" s="26"/>
      <c r="D49" s="14">
        <v>102.04082</v>
      </c>
      <c r="E49" s="14">
        <v>0</v>
      </c>
      <c r="F49" s="14">
        <v>0</v>
      </c>
      <c r="G49" s="287"/>
      <c r="H49" s="103"/>
      <c r="I49" s="103"/>
      <c r="J49" s="103"/>
      <c r="K49" s="103"/>
    </row>
    <row r="50" spans="1:11" ht="47.25" x14ac:dyDescent="0.25">
      <c r="A50" s="416" t="s">
        <v>640</v>
      </c>
      <c r="B50" s="72" t="s">
        <v>1026</v>
      </c>
      <c r="C50" s="26"/>
      <c r="D50" s="14">
        <v>51.020409999999998</v>
      </c>
      <c r="E50" s="14">
        <v>0</v>
      </c>
      <c r="F50" s="14">
        <v>0</v>
      </c>
      <c r="G50" s="287"/>
      <c r="H50" s="103"/>
      <c r="I50" s="103"/>
      <c r="J50" s="103"/>
      <c r="K50" s="103"/>
    </row>
    <row r="51" spans="1:11" ht="54" customHeight="1" x14ac:dyDescent="0.25">
      <c r="A51" s="416" t="s">
        <v>1027</v>
      </c>
      <c r="B51" s="214" t="s">
        <v>1030</v>
      </c>
      <c r="C51" s="26"/>
      <c r="D51" s="14">
        <f>45918.36735-45918.36735</f>
        <v>0</v>
      </c>
      <c r="E51" s="14">
        <v>0</v>
      </c>
      <c r="F51" s="14">
        <v>0</v>
      </c>
      <c r="G51" s="287"/>
      <c r="H51" s="103"/>
      <c r="I51" s="103"/>
      <c r="J51" s="103"/>
      <c r="K51" s="103"/>
    </row>
    <row r="52" spans="1:11" ht="35.25" customHeight="1" x14ac:dyDescent="0.25">
      <c r="A52" s="416" t="s">
        <v>638</v>
      </c>
      <c r="B52" s="72" t="s">
        <v>639</v>
      </c>
      <c r="C52" s="26"/>
      <c r="D52" s="14">
        <v>911.27089999999998</v>
      </c>
      <c r="E52" s="14">
        <v>2815.68487</v>
      </c>
      <c r="F52" s="14">
        <v>2976.67353</v>
      </c>
      <c r="G52" s="287"/>
      <c r="H52" s="103"/>
      <c r="I52" s="103"/>
      <c r="J52" s="103"/>
      <c r="K52" s="103"/>
    </row>
    <row r="53" spans="1:11" ht="63" x14ac:dyDescent="0.25">
      <c r="A53" s="416" t="s">
        <v>640</v>
      </c>
      <c r="B53" s="72" t="s">
        <v>641</v>
      </c>
      <c r="C53" s="26"/>
      <c r="D53" s="14">
        <v>1608.7142899999999</v>
      </c>
      <c r="E53" s="14">
        <v>0</v>
      </c>
      <c r="F53" s="14">
        <v>0</v>
      </c>
      <c r="G53" s="287"/>
      <c r="H53" s="103"/>
      <c r="I53" s="103"/>
      <c r="J53" s="103"/>
      <c r="K53" s="103"/>
    </row>
    <row r="54" spans="1:11" ht="31.5" hidden="1" customHeight="1" x14ac:dyDescent="0.25">
      <c r="A54" s="416"/>
      <c r="B54" s="72" t="s">
        <v>642</v>
      </c>
      <c r="C54" s="26"/>
      <c r="D54" s="14"/>
      <c r="E54" s="14"/>
      <c r="F54" s="14"/>
      <c r="G54" s="287"/>
      <c r="H54" s="103"/>
      <c r="I54" s="103"/>
      <c r="J54" s="103"/>
      <c r="K54" s="103"/>
    </row>
    <row r="55" spans="1:11" ht="47.25" hidden="1" customHeight="1" x14ac:dyDescent="0.25">
      <c r="A55" s="416"/>
      <c r="B55" s="72" t="s">
        <v>643</v>
      </c>
      <c r="C55" s="26"/>
      <c r="D55" s="14"/>
      <c r="E55" s="14"/>
      <c r="F55" s="14"/>
      <c r="G55" s="287"/>
      <c r="H55" s="103"/>
      <c r="I55" s="103"/>
      <c r="J55" s="103"/>
      <c r="K55" s="103"/>
    </row>
    <row r="56" spans="1:11" ht="63" hidden="1" customHeight="1" x14ac:dyDescent="0.25">
      <c r="A56" s="416"/>
      <c r="B56" s="72" t="s">
        <v>644</v>
      </c>
      <c r="C56" s="26"/>
      <c r="D56" s="14"/>
      <c r="E56" s="14"/>
      <c r="F56" s="14"/>
      <c r="G56" s="287"/>
      <c r="H56" s="103"/>
      <c r="I56" s="103"/>
      <c r="J56" s="103"/>
      <c r="K56" s="103"/>
    </row>
    <row r="57" spans="1:11" ht="37.5" customHeight="1" x14ac:dyDescent="0.25">
      <c r="A57" s="416" t="s">
        <v>1096</v>
      </c>
      <c r="B57" s="72" t="s">
        <v>1097</v>
      </c>
      <c r="C57" s="26"/>
      <c r="D57" s="14">
        <v>75</v>
      </c>
      <c r="E57" s="14">
        <v>0</v>
      </c>
      <c r="F57" s="14">
        <v>0</v>
      </c>
      <c r="G57" s="287"/>
      <c r="H57" s="103"/>
      <c r="I57" s="103"/>
      <c r="J57" s="103"/>
      <c r="K57" s="103"/>
    </row>
    <row r="58" spans="1:11" x14ac:dyDescent="0.25">
      <c r="A58" s="28" t="s">
        <v>352</v>
      </c>
      <c r="B58" s="73" t="s">
        <v>203</v>
      </c>
      <c r="C58" s="29" t="e">
        <f>#REF!</f>
        <v>#REF!</v>
      </c>
      <c r="D58" s="30">
        <f>SUM(D59:D72)</f>
        <v>105789.46378000001</v>
      </c>
      <c r="E58" s="30">
        <f t="shared" ref="E58:F58" si="0">SUM(E60:E72)</f>
        <v>5316.6635400000005</v>
      </c>
      <c r="F58" s="30">
        <f t="shared" si="0"/>
        <v>1168.0050000000001</v>
      </c>
      <c r="G58" s="287"/>
      <c r="H58" s="103"/>
      <c r="I58" s="103"/>
      <c r="J58" s="103"/>
      <c r="K58" s="103"/>
    </row>
    <row r="59" spans="1:11" ht="80.25" customHeight="1" x14ac:dyDescent="0.25">
      <c r="A59" s="416" t="s">
        <v>352</v>
      </c>
      <c r="B59" s="72" t="s">
        <v>1095</v>
      </c>
      <c r="C59" s="29"/>
      <c r="D59" s="14">
        <f>45918.36735+14030.61225</f>
        <v>59948.979599999999</v>
      </c>
      <c r="E59" s="30">
        <v>0</v>
      </c>
      <c r="F59" s="30">
        <v>0</v>
      </c>
      <c r="G59" s="287"/>
      <c r="H59" s="103"/>
      <c r="I59" s="103"/>
      <c r="J59" s="103"/>
      <c r="K59" s="103"/>
    </row>
    <row r="60" spans="1:11" ht="47.25" x14ac:dyDescent="0.25">
      <c r="A60" s="416" t="s">
        <v>352</v>
      </c>
      <c r="B60" s="72" t="s">
        <v>534</v>
      </c>
      <c r="C60" s="29"/>
      <c r="D60" s="14">
        <f>5940-778.14</f>
        <v>5161.8599999999997</v>
      </c>
      <c r="E60" s="14">
        <v>0</v>
      </c>
      <c r="F60" s="14">
        <v>0</v>
      </c>
      <c r="G60" s="287"/>
      <c r="H60" s="103"/>
      <c r="I60" s="103"/>
      <c r="J60" s="103"/>
      <c r="K60" s="103"/>
    </row>
    <row r="61" spans="1:11" ht="47.25" x14ac:dyDescent="0.25">
      <c r="A61" s="416" t="s">
        <v>352</v>
      </c>
      <c r="B61" s="72" t="s">
        <v>1050</v>
      </c>
      <c r="C61" s="29"/>
      <c r="D61" s="14">
        <v>3000</v>
      </c>
      <c r="E61" s="14">
        <v>0</v>
      </c>
      <c r="F61" s="14">
        <v>0</v>
      </c>
      <c r="G61" s="287"/>
      <c r="H61" s="103"/>
      <c r="I61" s="103"/>
      <c r="J61" s="103"/>
      <c r="K61" s="103"/>
    </row>
    <row r="62" spans="1:11" ht="47.25" x14ac:dyDescent="0.25">
      <c r="A62" s="416" t="s">
        <v>352</v>
      </c>
      <c r="B62" s="72" t="s">
        <v>1005</v>
      </c>
      <c r="C62" s="29"/>
      <c r="D62" s="14">
        <f>1980-1028.75929</f>
        <v>951.24071000000004</v>
      </c>
      <c r="E62" s="14">
        <v>0</v>
      </c>
      <c r="F62" s="14">
        <v>0</v>
      </c>
      <c r="G62" s="287"/>
      <c r="H62" s="103"/>
      <c r="I62" s="103"/>
      <c r="J62" s="103"/>
      <c r="K62" s="103"/>
    </row>
    <row r="63" spans="1:11" ht="37.9" customHeight="1" x14ac:dyDescent="0.25">
      <c r="A63" s="416" t="s">
        <v>352</v>
      </c>
      <c r="B63" s="72" t="s">
        <v>1076</v>
      </c>
      <c r="C63" s="29"/>
      <c r="D63" s="14">
        <v>5000</v>
      </c>
      <c r="E63" s="14">
        <v>0</v>
      </c>
      <c r="F63" s="14">
        <v>0</v>
      </c>
      <c r="G63" s="287"/>
      <c r="H63" s="103"/>
      <c r="I63" s="103"/>
      <c r="J63" s="103"/>
      <c r="K63" s="103"/>
    </row>
    <row r="64" spans="1:11" ht="47.25" x14ac:dyDescent="0.25">
      <c r="A64" s="416" t="s">
        <v>352</v>
      </c>
      <c r="B64" s="72" t="s">
        <v>643</v>
      </c>
      <c r="C64" s="29"/>
      <c r="D64" s="14">
        <f>7277.15938-2442.36785</f>
        <v>4834.7915300000004</v>
      </c>
      <c r="E64" s="14">
        <v>0</v>
      </c>
      <c r="F64" s="14">
        <v>0</v>
      </c>
      <c r="G64" s="287"/>
      <c r="H64" s="103"/>
      <c r="I64" s="103"/>
      <c r="J64" s="103"/>
      <c r="K64" s="103"/>
    </row>
    <row r="65" spans="1:11" ht="63" x14ac:dyDescent="0.25">
      <c r="A65" s="416" t="s">
        <v>352</v>
      </c>
      <c r="B65" s="72" t="s">
        <v>644</v>
      </c>
      <c r="C65" s="29"/>
      <c r="D65" s="14">
        <f>340.5295+55.3755-395.905</f>
        <v>0</v>
      </c>
      <c r="E65" s="14">
        <v>0</v>
      </c>
      <c r="F65" s="14">
        <v>0</v>
      </c>
      <c r="G65" s="287"/>
      <c r="H65" s="103"/>
      <c r="I65" s="103"/>
      <c r="J65" s="103"/>
      <c r="K65" s="103"/>
    </row>
    <row r="66" spans="1:11" ht="47.25" x14ac:dyDescent="0.25">
      <c r="A66" s="416" t="s">
        <v>352</v>
      </c>
      <c r="B66" s="72" t="s">
        <v>645</v>
      </c>
      <c r="C66" s="26"/>
      <c r="D66" s="14">
        <v>9192.9670999999998</v>
      </c>
      <c r="E66" s="14">
        <v>0</v>
      </c>
      <c r="F66" s="14">
        <v>0</v>
      </c>
      <c r="G66" s="287"/>
      <c r="H66" s="103"/>
      <c r="I66" s="103"/>
      <c r="J66" s="103"/>
      <c r="K66" s="103"/>
    </row>
    <row r="67" spans="1:11" ht="47.25" x14ac:dyDescent="0.25">
      <c r="A67" s="416" t="s">
        <v>352</v>
      </c>
      <c r="B67" s="72" t="s">
        <v>569</v>
      </c>
      <c r="C67" s="26"/>
      <c r="D67" s="14">
        <v>1000</v>
      </c>
      <c r="E67" s="14">
        <v>1000</v>
      </c>
      <c r="F67" s="14">
        <v>1000</v>
      </c>
      <c r="G67" s="287"/>
      <c r="H67" s="103"/>
      <c r="I67" s="103"/>
      <c r="J67" s="103"/>
      <c r="K67" s="103"/>
    </row>
    <row r="68" spans="1:11" ht="45.6" customHeight="1" x14ac:dyDescent="0.25">
      <c r="A68" s="416" t="s">
        <v>352</v>
      </c>
      <c r="B68" s="72" t="s">
        <v>570</v>
      </c>
      <c r="C68" s="26"/>
      <c r="D68" s="14">
        <v>168.005</v>
      </c>
      <c r="E68" s="14">
        <v>168.005</v>
      </c>
      <c r="F68" s="14">
        <v>168.005</v>
      </c>
      <c r="G68" s="287"/>
      <c r="H68" s="103"/>
      <c r="I68" s="103"/>
      <c r="J68" s="103"/>
      <c r="K68" s="103"/>
    </row>
    <row r="69" spans="1:11" ht="36.75" customHeight="1" x14ac:dyDescent="0.25">
      <c r="A69" s="416" t="s">
        <v>352</v>
      </c>
      <c r="B69" s="72" t="s">
        <v>646</v>
      </c>
      <c r="C69" s="26"/>
      <c r="D69" s="14">
        <f>511.18485+29.07315+496.36184</f>
        <v>1036.6198400000001</v>
      </c>
      <c r="E69" s="14">
        <v>0</v>
      </c>
      <c r="F69" s="14">
        <v>0</v>
      </c>
      <c r="G69" s="287"/>
      <c r="H69" s="103"/>
      <c r="I69" s="103"/>
      <c r="J69" s="103"/>
      <c r="K69" s="103"/>
    </row>
    <row r="70" spans="1:11" ht="45" customHeight="1" x14ac:dyDescent="0.25">
      <c r="A70" s="416" t="s">
        <v>352</v>
      </c>
      <c r="B70" s="430" t="s">
        <v>1028</v>
      </c>
      <c r="C70" s="430"/>
      <c r="D70" s="14">
        <f>12000+8000-5000</f>
        <v>15000</v>
      </c>
      <c r="E70" s="14">
        <v>0</v>
      </c>
      <c r="F70" s="14">
        <v>0</v>
      </c>
      <c r="G70" s="287"/>
      <c r="H70" s="103"/>
      <c r="I70" s="103"/>
      <c r="J70" s="103"/>
      <c r="K70" s="103"/>
    </row>
    <row r="71" spans="1:11" ht="31.5" customHeight="1" x14ac:dyDescent="0.25">
      <c r="A71" s="416" t="s">
        <v>352</v>
      </c>
      <c r="B71" s="72" t="s">
        <v>494</v>
      </c>
      <c r="C71" s="26"/>
      <c r="D71" s="14">
        <v>495</v>
      </c>
      <c r="E71" s="14">
        <v>0</v>
      </c>
      <c r="F71" s="14">
        <v>0</v>
      </c>
      <c r="G71" s="287"/>
      <c r="H71" s="103"/>
      <c r="I71" s="103"/>
      <c r="J71" s="103"/>
      <c r="K71" s="103"/>
    </row>
    <row r="72" spans="1:11" ht="64.5" customHeight="1" x14ac:dyDescent="0.25">
      <c r="A72" s="416" t="s">
        <v>1040</v>
      </c>
      <c r="B72" s="72" t="s">
        <v>1029</v>
      </c>
      <c r="C72" s="26"/>
      <c r="D72" s="14">
        <v>0</v>
      </c>
      <c r="E72" s="14">
        <v>4148.6585400000004</v>
      </c>
      <c r="F72" s="14">
        <v>0</v>
      </c>
      <c r="G72" s="287"/>
      <c r="H72" s="103"/>
      <c r="I72" s="103"/>
      <c r="J72" s="103"/>
      <c r="K72" s="103"/>
    </row>
    <row r="73" spans="1:11" ht="40.5" customHeight="1" x14ac:dyDescent="0.25">
      <c r="A73" s="355" t="s">
        <v>302</v>
      </c>
      <c r="B73" s="71" t="s">
        <v>214</v>
      </c>
      <c r="C73" s="25" t="e">
        <f>C92+#REF!+C90+C74+#REF!</f>
        <v>#REF!</v>
      </c>
      <c r="D73" s="25">
        <f>D74+D96</f>
        <v>382194.14019000006</v>
      </c>
      <c r="E73" s="25">
        <f>E74+E96</f>
        <v>424510.04294999992</v>
      </c>
      <c r="F73" s="25">
        <f>F74+F96</f>
        <v>443537.19711000007</v>
      </c>
      <c r="G73" s="287"/>
      <c r="H73" s="103"/>
      <c r="I73" s="103"/>
      <c r="J73" s="103"/>
      <c r="K73" s="103"/>
    </row>
    <row r="74" spans="1:11" ht="39.75" customHeight="1" x14ac:dyDescent="0.25">
      <c r="A74" s="28" t="s">
        <v>305</v>
      </c>
      <c r="B74" s="73" t="s">
        <v>137</v>
      </c>
      <c r="C74" s="29" t="e">
        <f>#REF!+C91+#REF!+C76+C78+C79+#REF!+C82+C83+C84+C75+C86+C80+#REF!</f>
        <v>#REF!</v>
      </c>
      <c r="D74" s="29">
        <f>SUM(D75:D93)</f>
        <v>381472.83519000007</v>
      </c>
      <c r="E74" s="29">
        <f>SUM(E75:E93)</f>
        <v>424060.80394999991</v>
      </c>
      <c r="F74" s="29">
        <f>SUM(F75:F93)</f>
        <v>443071.74811000004</v>
      </c>
      <c r="G74" s="287"/>
      <c r="H74" s="103"/>
      <c r="I74" s="103"/>
      <c r="J74" s="103"/>
      <c r="K74" s="103"/>
    </row>
    <row r="75" spans="1:11" ht="52.5" customHeight="1" x14ac:dyDescent="0.25">
      <c r="A75" s="416" t="s">
        <v>305</v>
      </c>
      <c r="B75" s="72" t="s">
        <v>354</v>
      </c>
      <c r="C75" s="26">
        <v>2375</v>
      </c>
      <c r="D75" s="14">
        <f>1470-930-99.6</f>
        <v>440.4</v>
      </c>
      <c r="E75" s="14">
        <v>1130</v>
      </c>
      <c r="F75" s="14">
        <v>0</v>
      </c>
      <c r="G75" s="287"/>
      <c r="H75" s="103"/>
      <c r="I75" s="103"/>
      <c r="J75" s="103"/>
      <c r="K75" s="103"/>
    </row>
    <row r="76" spans="1:11" ht="63" x14ac:dyDescent="0.25">
      <c r="A76" s="416" t="s">
        <v>305</v>
      </c>
      <c r="B76" s="72" t="s">
        <v>573</v>
      </c>
      <c r="C76" s="26">
        <v>48045.527999999998</v>
      </c>
      <c r="D76" s="14">
        <v>51964.42</v>
      </c>
      <c r="E76" s="14">
        <v>55123.663999999997</v>
      </c>
      <c r="F76" s="14">
        <v>58333.048000000003</v>
      </c>
      <c r="G76" s="287"/>
      <c r="H76" s="103"/>
      <c r="I76" s="103"/>
      <c r="J76" s="103"/>
      <c r="K76" s="103"/>
    </row>
    <row r="77" spans="1:11" ht="70.5" customHeight="1" x14ac:dyDescent="0.25">
      <c r="A77" s="416" t="s">
        <v>305</v>
      </c>
      <c r="B77" s="72" t="s">
        <v>574</v>
      </c>
      <c r="C77" s="26"/>
      <c r="D77" s="14">
        <v>251389.158</v>
      </c>
      <c r="E77" s="14">
        <v>267175.44</v>
      </c>
      <c r="F77" s="14">
        <v>283183.27899999998</v>
      </c>
      <c r="G77" s="287"/>
      <c r="H77" s="103"/>
      <c r="I77" s="103"/>
      <c r="J77" s="103"/>
      <c r="K77" s="103"/>
    </row>
    <row r="78" spans="1:11" ht="47.25" x14ac:dyDescent="0.25">
      <c r="A78" s="416" t="s">
        <v>305</v>
      </c>
      <c r="B78" s="72" t="s">
        <v>647</v>
      </c>
      <c r="C78" s="26">
        <v>3064.058</v>
      </c>
      <c r="D78" s="14">
        <f>3671.3712-48</f>
        <v>3623.3712</v>
      </c>
      <c r="E78" s="14">
        <v>6112.8</v>
      </c>
      <c r="F78" s="14">
        <v>6112.8</v>
      </c>
      <c r="G78" s="287"/>
      <c r="H78" s="103"/>
      <c r="I78" s="103"/>
      <c r="J78" s="103"/>
      <c r="K78" s="103"/>
    </row>
    <row r="79" spans="1:11" ht="47.25" customHeight="1" x14ac:dyDescent="0.25">
      <c r="A79" s="416" t="s">
        <v>305</v>
      </c>
      <c r="B79" s="72" t="s">
        <v>236</v>
      </c>
      <c r="C79" s="26">
        <v>768.47400000000005</v>
      </c>
      <c r="D79" s="14">
        <v>1101.2190000000001</v>
      </c>
      <c r="E79" s="14">
        <v>1111.5809999999999</v>
      </c>
      <c r="F79" s="14">
        <v>1153.444</v>
      </c>
      <c r="G79" s="287"/>
      <c r="H79" s="103"/>
      <c r="I79" s="103"/>
      <c r="J79" s="103"/>
      <c r="K79" s="103"/>
    </row>
    <row r="80" spans="1:11" ht="47.25" x14ac:dyDescent="0.25">
      <c r="A80" s="416" t="s">
        <v>353</v>
      </c>
      <c r="B80" s="72" t="s">
        <v>497</v>
      </c>
      <c r="C80" s="26">
        <v>1804.088</v>
      </c>
      <c r="D80" s="14">
        <v>2582.8829999999998</v>
      </c>
      <c r="E80" s="14">
        <v>2607.136</v>
      </c>
      <c r="F80" s="14">
        <v>2705.1170000000002</v>
      </c>
      <c r="G80" s="287"/>
      <c r="H80" s="103"/>
      <c r="I80" s="103"/>
      <c r="J80" s="103"/>
      <c r="K80" s="103"/>
    </row>
    <row r="81" spans="1:11" ht="63" x14ac:dyDescent="0.25">
      <c r="A81" s="416" t="s">
        <v>305</v>
      </c>
      <c r="B81" s="72" t="s">
        <v>648</v>
      </c>
      <c r="C81" s="26">
        <f>13848.602</f>
        <v>13848.602000000001</v>
      </c>
      <c r="D81" s="14">
        <f>11734.25-2426.699+629.2975</f>
        <v>9936.8485000000001</v>
      </c>
      <c r="E81" s="14">
        <v>11734.25</v>
      </c>
      <c r="F81" s="14">
        <v>11734.25</v>
      </c>
      <c r="G81" s="287"/>
      <c r="H81" s="103"/>
      <c r="I81" s="103"/>
      <c r="J81" s="103"/>
      <c r="K81" s="103"/>
    </row>
    <row r="82" spans="1:11" ht="47.25" x14ac:dyDescent="0.25">
      <c r="A82" s="416" t="s">
        <v>305</v>
      </c>
      <c r="B82" s="72" t="s">
        <v>498</v>
      </c>
      <c r="C82" s="26">
        <v>11501.933999999999</v>
      </c>
      <c r="D82" s="14">
        <v>11041.041999999999</v>
      </c>
      <c r="E82" s="14">
        <v>11041.041999999999</v>
      </c>
      <c r="F82" s="14">
        <v>11041.041999999999</v>
      </c>
      <c r="G82" s="287"/>
      <c r="H82" s="103"/>
      <c r="I82" s="103"/>
      <c r="J82" s="103"/>
      <c r="K82" s="103"/>
    </row>
    <row r="83" spans="1:11" ht="47.25" x14ac:dyDescent="0.25">
      <c r="A83" s="416" t="s">
        <v>305</v>
      </c>
      <c r="B83" s="72" t="s">
        <v>499</v>
      </c>
      <c r="C83" s="26">
        <v>1.6952400000000001</v>
      </c>
      <c r="D83" s="14">
        <v>2.31474</v>
      </c>
      <c r="E83" s="14">
        <v>2.4073199999999999</v>
      </c>
      <c r="F83" s="14">
        <v>2.5036200000000002</v>
      </c>
      <c r="G83" s="287"/>
      <c r="H83" s="103"/>
      <c r="I83" s="103"/>
      <c r="J83" s="103"/>
      <c r="K83" s="103"/>
    </row>
    <row r="84" spans="1:11" ht="47.25" customHeight="1" x14ac:dyDescent="0.25">
      <c r="A84" s="416" t="s">
        <v>305</v>
      </c>
      <c r="B84" s="72" t="s">
        <v>649</v>
      </c>
      <c r="C84" s="26">
        <v>316.23500000000001</v>
      </c>
      <c r="D84" s="14">
        <v>1485.3911900000001</v>
      </c>
      <c r="E84" s="14">
        <v>1485.3911900000001</v>
      </c>
      <c r="F84" s="14">
        <v>1485.3911900000001</v>
      </c>
      <c r="G84" s="287"/>
      <c r="H84" s="103"/>
      <c r="I84" s="103"/>
      <c r="J84" s="103"/>
      <c r="K84" s="103"/>
    </row>
    <row r="85" spans="1:11" ht="65.25" customHeight="1" x14ac:dyDescent="0.25">
      <c r="A85" s="416" t="s">
        <v>305</v>
      </c>
      <c r="B85" s="72" t="s">
        <v>502</v>
      </c>
      <c r="C85" s="26"/>
      <c r="D85" s="14">
        <f>16987.40035-1489.302-122.016</f>
        <v>15376.082350000001</v>
      </c>
      <c r="E85" s="14">
        <v>10793.35435</v>
      </c>
      <c r="F85" s="14">
        <v>10793.35434</v>
      </c>
      <c r="G85" s="287"/>
      <c r="H85" s="103"/>
      <c r="I85" s="103"/>
      <c r="J85" s="103"/>
      <c r="K85" s="103"/>
    </row>
    <row r="86" spans="1:11" ht="35.25" customHeight="1" x14ac:dyDescent="0.25">
      <c r="A86" s="416" t="s">
        <v>353</v>
      </c>
      <c r="B86" s="72" t="s">
        <v>418</v>
      </c>
      <c r="C86" s="26">
        <v>22005.496800000001</v>
      </c>
      <c r="D86" s="14">
        <f>15399.59071-3896.62258</f>
        <v>11502.968130000001</v>
      </c>
      <c r="E86" s="14">
        <v>15787.855009999999</v>
      </c>
      <c r="F86" s="14">
        <v>16369.454879999999</v>
      </c>
      <c r="G86" s="287"/>
      <c r="H86" s="103"/>
      <c r="I86" s="103"/>
      <c r="J86" s="103"/>
      <c r="K86" s="103"/>
    </row>
    <row r="87" spans="1:11" ht="77.45" customHeight="1" x14ac:dyDescent="0.25">
      <c r="A87" s="416" t="s">
        <v>353</v>
      </c>
      <c r="B87" s="72" t="s">
        <v>762</v>
      </c>
      <c r="C87" s="26"/>
      <c r="D87" s="14">
        <v>3.3870800000000001</v>
      </c>
      <c r="E87" s="14">
        <v>3.3870800000000001</v>
      </c>
      <c r="F87" s="14">
        <v>3.3870800000000001</v>
      </c>
      <c r="G87" s="287"/>
      <c r="H87" s="103"/>
      <c r="I87" s="103"/>
      <c r="J87" s="103"/>
      <c r="K87" s="103"/>
    </row>
    <row r="88" spans="1:11" ht="72.75" customHeight="1" x14ac:dyDescent="0.25">
      <c r="A88" s="416" t="s">
        <v>1041</v>
      </c>
      <c r="B88" s="72" t="s">
        <v>190</v>
      </c>
      <c r="C88" s="26">
        <v>4647.3230000000003</v>
      </c>
      <c r="D88" s="26">
        <f>5743.327-3189.96</f>
        <v>2553.3670000000002</v>
      </c>
      <c r="E88" s="26">
        <v>5971.61</v>
      </c>
      <c r="F88" s="14">
        <v>6210.7650000000003</v>
      </c>
      <c r="G88" s="287"/>
      <c r="H88" s="103"/>
      <c r="I88" s="103"/>
      <c r="J88" s="103"/>
      <c r="K88" s="103"/>
    </row>
    <row r="89" spans="1:11" ht="66.75" customHeight="1" x14ac:dyDescent="0.25">
      <c r="A89" s="416" t="s">
        <v>572</v>
      </c>
      <c r="B89" s="72" t="s">
        <v>650</v>
      </c>
      <c r="C89" s="26"/>
      <c r="D89" s="14">
        <f>13550.4-13550.4</f>
        <v>0</v>
      </c>
      <c r="E89" s="14">
        <v>13550.4</v>
      </c>
      <c r="F89" s="14">
        <v>13550.4</v>
      </c>
      <c r="J89" s="103"/>
      <c r="K89" s="103"/>
    </row>
    <row r="90" spans="1:11" ht="44.25" customHeight="1" x14ac:dyDescent="0.25">
      <c r="A90" s="416" t="s">
        <v>304</v>
      </c>
      <c r="B90" s="72" t="s">
        <v>496</v>
      </c>
      <c r="C90" s="26">
        <v>18.268000000000001</v>
      </c>
      <c r="D90" s="14">
        <v>11.829000000000001</v>
      </c>
      <c r="E90" s="14">
        <v>12.269</v>
      </c>
      <c r="F90" s="14">
        <v>151.56200000000001</v>
      </c>
      <c r="G90" s="287"/>
      <c r="H90" s="103"/>
      <c r="I90" s="103"/>
      <c r="J90" s="103"/>
      <c r="K90" s="103"/>
    </row>
    <row r="91" spans="1:11" ht="47.25" x14ac:dyDescent="0.25">
      <c r="A91" s="416" t="s">
        <v>409</v>
      </c>
      <c r="B91" s="72" t="s">
        <v>410</v>
      </c>
      <c r="C91" s="26">
        <v>13848.602000000001</v>
      </c>
      <c r="D91" s="14">
        <f>15880.55-1733.15</f>
        <v>14147.4</v>
      </c>
      <c r="E91" s="14">
        <v>15880.55</v>
      </c>
      <c r="F91" s="14">
        <v>15533.75</v>
      </c>
      <c r="G91" s="287"/>
      <c r="H91" s="103"/>
      <c r="I91" s="103"/>
      <c r="J91" s="103"/>
      <c r="K91" s="103"/>
    </row>
    <row r="92" spans="1:11" ht="39" customHeight="1" x14ac:dyDescent="0.25">
      <c r="A92" s="416" t="s">
        <v>301</v>
      </c>
      <c r="B92" s="72" t="s">
        <v>495</v>
      </c>
      <c r="C92" s="26">
        <v>1331</v>
      </c>
      <c r="D92" s="14">
        <v>1447.646</v>
      </c>
      <c r="E92" s="14">
        <v>1641.578</v>
      </c>
      <c r="F92" s="14">
        <v>1696.2670000000001</v>
      </c>
      <c r="G92" s="287"/>
      <c r="H92" s="103"/>
      <c r="I92" s="103"/>
      <c r="J92" s="103"/>
      <c r="K92" s="103"/>
    </row>
    <row r="93" spans="1:11" ht="40.5" customHeight="1" x14ac:dyDescent="0.25">
      <c r="A93" s="28" t="s">
        <v>441</v>
      </c>
      <c r="B93" s="73" t="s">
        <v>442</v>
      </c>
      <c r="C93" s="29" t="e">
        <f>#REF!+#REF!</f>
        <v>#REF!</v>
      </c>
      <c r="D93" s="30">
        <f>D94+D95</f>
        <v>2863.1080000000002</v>
      </c>
      <c r="E93" s="30">
        <f t="shared" ref="E93:F93" si="1">E94+E95</f>
        <v>2896.0889999999999</v>
      </c>
      <c r="F93" s="30">
        <f t="shared" si="1"/>
        <v>3011.933</v>
      </c>
      <c r="G93" s="287"/>
      <c r="H93" s="103"/>
      <c r="I93" s="103"/>
      <c r="J93" s="103"/>
      <c r="K93" s="103"/>
    </row>
    <row r="94" spans="1:11" ht="47.25" customHeight="1" x14ac:dyDescent="0.25">
      <c r="A94" s="296" t="s">
        <v>441</v>
      </c>
      <c r="B94" s="297" t="s">
        <v>237</v>
      </c>
      <c r="C94" s="298"/>
      <c r="D94" s="100">
        <f>1017+165.141</f>
        <v>1182.1410000000001</v>
      </c>
      <c r="E94" s="100">
        <v>1052.0730000000001</v>
      </c>
      <c r="F94" s="100">
        <v>1094.155</v>
      </c>
      <c r="G94" s="287"/>
      <c r="H94" s="103"/>
      <c r="I94" s="103"/>
      <c r="J94" s="103"/>
      <c r="K94" s="103"/>
    </row>
    <row r="95" spans="1:11" ht="47.25" customHeight="1" x14ac:dyDescent="0.25">
      <c r="A95" s="296" t="s">
        <v>441</v>
      </c>
      <c r="B95" s="297" t="s">
        <v>186</v>
      </c>
      <c r="C95" s="298"/>
      <c r="D95" s="100">
        <f>1846.108-165.141</f>
        <v>1680.9669999999999</v>
      </c>
      <c r="E95" s="100">
        <v>1844.0160000000001</v>
      </c>
      <c r="F95" s="100">
        <v>1917.778</v>
      </c>
      <c r="G95" s="287"/>
      <c r="H95" s="103"/>
      <c r="I95" s="103"/>
      <c r="J95" s="103"/>
      <c r="K95" s="103"/>
    </row>
    <row r="96" spans="1:11" ht="24" customHeight="1" x14ac:dyDescent="0.25">
      <c r="A96" s="28" t="s">
        <v>467</v>
      </c>
      <c r="B96" s="73" t="s">
        <v>468</v>
      </c>
      <c r="C96" s="29"/>
      <c r="D96" s="30">
        <f>D97</f>
        <v>721.30499999999995</v>
      </c>
      <c r="E96" s="30">
        <f>E97</f>
        <v>449.23899999999998</v>
      </c>
      <c r="F96" s="30">
        <f>F97</f>
        <v>465.44900000000001</v>
      </c>
      <c r="G96" s="287"/>
      <c r="H96" s="103"/>
      <c r="I96" s="103"/>
      <c r="J96" s="103"/>
      <c r="K96" s="103"/>
    </row>
    <row r="97" spans="1:251" ht="53.45" customHeight="1" x14ac:dyDescent="0.25">
      <c r="A97" s="416" t="s">
        <v>467</v>
      </c>
      <c r="B97" s="72" t="s">
        <v>661</v>
      </c>
      <c r="C97" s="26"/>
      <c r="D97" s="14">
        <f>445.227+276.078</f>
        <v>721.30499999999995</v>
      </c>
      <c r="E97" s="14">
        <v>449.23899999999998</v>
      </c>
      <c r="F97" s="14">
        <v>465.44900000000001</v>
      </c>
      <c r="G97" s="287"/>
      <c r="H97" s="103"/>
      <c r="I97" s="103"/>
      <c r="J97" s="103"/>
      <c r="K97" s="103"/>
    </row>
    <row r="98" spans="1:251" x14ac:dyDescent="0.25">
      <c r="A98" s="355" t="s">
        <v>355</v>
      </c>
      <c r="B98" s="71" t="s">
        <v>364</v>
      </c>
      <c r="C98" s="25">
        <v>0</v>
      </c>
      <c r="D98" s="27">
        <f>D101+D100+D99+D102</f>
        <v>43471.383800000011</v>
      </c>
      <c r="E98" s="27">
        <f t="shared" ref="E98:F98" si="2">E101+E100+E99+E102</f>
        <v>24793.856639999998</v>
      </c>
      <c r="F98" s="27">
        <f t="shared" si="2"/>
        <v>25639.570800000001</v>
      </c>
      <c r="G98" s="24"/>
      <c r="H98" s="105"/>
      <c r="I98" s="105"/>
      <c r="J98" s="105"/>
      <c r="K98" s="105"/>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c r="BU98" s="31"/>
      <c r="BV98" s="31"/>
      <c r="BW98" s="31"/>
      <c r="BX98" s="31"/>
      <c r="BY98" s="31"/>
      <c r="BZ98" s="31"/>
      <c r="CA98" s="31"/>
      <c r="CB98" s="31"/>
      <c r="CC98" s="31"/>
      <c r="CD98" s="31"/>
      <c r="CE98" s="31"/>
      <c r="CF98" s="31"/>
      <c r="CG98" s="31"/>
      <c r="CH98" s="31"/>
      <c r="CI98" s="31"/>
      <c r="CJ98" s="31"/>
      <c r="CK98" s="31"/>
      <c r="CL98" s="31"/>
      <c r="CM98" s="31"/>
      <c r="CN98" s="31"/>
      <c r="CO98" s="31"/>
      <c r="CP98" s="31"/>
      <c r="CQ98" s="31"/>
      <c r="CR98" s="31"/>
      <c r="CS98" s="31"/>
      <c r="CT98" s="31"/>
      <c r="CU98" s="31"/>
      <c r="CV98" s="31"/>
      <c r="CW98" s="31"/>
      <c r="CX98" s="31"/>
      <c r="CY98" s="31"/>
      <c r="CZ98" s="31"/>
      <c r="DA98" s="31"/>
      <c r="DB98" s="31"/>
      <c r="DC98" s="31"/>
      <c r="DD98" s="31"/>
      <c r="DE98" s="31"/>
      <c r="DF98" s="31"/>
      <c r="DG98" s="31"/>
      <c r="DH98" s="31"/>
      <c r="DI98" s="31"/>
      <c r="DJ98" s="31"/>
      <c r="DK98" s="31"/>
      <c r="DL98" s="31"/>
      <c r="DM98" s="31"/>
      <c r="DN98" s="31"/>
      <c r="DO98" s="31"/>
      <c r="DP98" s="31"/>
      <c r="DQ98" s="31"/>
      <c r="DR98" s="31"/>
      <c r="DS98" s="31"/>
      <c r="DT98" s="31"/>
      <c r="DU98" s="31"/>
      <c r="DV98" s="31"/>
      <c r="DW98" s="31"/>
      <c r="DX98" s="31"/>
      <c r="DY98" s="31"/>
      <c r="DZ98" s="31"/>
      <c r="EA98" s="31"/>
      <c r="EB98" s="31"/>
      <c r="EC98" s="31"/>
      <c r="ED98" s="31"/>
      <c r="EE98" s="31"/>
      <c r="EF98" s="31"/>
      <c r="EG98" s="31"/>
      <c r="EH98" s="31"/>
      <c r="EI98" s="31"/>
      <c r="EJ98" s="31"/>
      <c r="EK98" s="31"/>
      <c r="EL98" s="31"/>
      <c r="EM98" s="31"/>
      <c r="EN98" s="31"/>
      <c r="EO98" s="31"/>
      <c r="EP98" s="31"/>
      <c r="EQ98" s="31"/>
      <c r="ER98" s="31"/>
      <c r="ES98" s="31"/>
      <c r="ET98" s="31"/>
      <c r="EU98" s="31"/>
      <c r="EV98" s="31"/>
      <c r="EW98" s="31"/>
      <c r="EX98" s="31"/>
      <c r="EY98" s="31"/>
      <c r="EZ98" s="31"/>
      <c r="FA98" s="31"/>
      <c r="FB98" s="31"/>
      <c r="FC98" s="31"/>
      <c r="FD98" s="31"/>
      <c r="FE98" s="31"/>
      <c r="FF98" s="31"/>
      <c r="FG98" s="31"/>
      <c r="FH98" s="31"/>
      <c r="FI98" s="31"/>
      <c r="FJ98" s="31"/>
      <c r="FK98" s="31"/>
      <c r="FL98" s="31"/>
      <c r="FM98" s="31"/>
      <c r="FN98" s="31"/>
      <c r="FO98" s="31"/>
      <c r="FP98" s="31"/>
      <c r="FQ98" s="31"/>
      <c r="FR98" s="31"/>
      <c r="FS98" s="31"/>
      <c r="FT98" s="31"/>
      <c r="FU98" s="31"/>
      <c r="FV98" s="31"/>
      <c r="FW98" s="31"/>
      <c r="FX98" s="31"/>
      <c r="FY98" s="31"/>
      <c r="FZ98" s="31"/>
      <c r="GA98" s="31"/>
      <c r="GB98" s="31"/>
      <c r="GC98" s="31"/>
      <c r="GD98" s="31"/>
      <c r="GE98" s="31"/>
      <c r="GF98" s="31"/>
      <c r="GG98" s="31"/>
      <c r="GH98" s="31"/>
      <c r="GI98" s="31"/>
      <c r="GJ98" s="31"/>
      <c r="GK98" s="31"/>
      <c r="GL98" s="31"/>
      <c r="GM98" s="31"/>
      <c r="GN98" s="31"/>
      <c r="GO98" s="31"/>
      <c r="GP98" s="31"/>
      <c r="GQ98" s="31"/>
      <c r="GR98" s="31"/>
      <c r="GS98" s="31"/>
      <c r="GT98" s="31"/>
      <c r="GU98" s="31"/>
      <c r="GV98" s="31"/>
      <c r="GW98" s="31"/>
      <c r="GX98" s="31"/>
      <c r="GY98" s="31"/>
      <c r="GZ98" s="31"/>
      <c r="HA98" s="31"/>
      <c r="HB98" s="31"/>
      <c r="HC98" s="31"/>
      <c r="HD98" s="31"/>
      <c r="HE98" s="31"/>
      <c r="HF98" s="31"/>
      <c r="HG98" s="31"/>
      <c r="HH98" s="31"/>
      <c r="HI98" s="31"/>
      <c r="HJ98" s="31"/>
      <c r="HK98" s="31"/>
      <c r="HL98" s="31"/>
      <c r="HM98" s="31"/>
      <c r="HN98" s="31"/>
      <c r="HO98" s="31"/>
      <c r="HP98" s="31"/>
      <c r="HQ98" s="31"/>
      <c r="HR98" s="31"/>
      <c r="HS98" s="31"/>
      <c r="HT98" s="31"/>
      <c r="HU98" s="31"/>
      <c r="HV98" s="31"/>
      <c r="HW98" s="31"/>
      <c r="HX98" s="31"/>
      <c r="HY98" s="31"/>
      <c r="HZ98" s="31"/>
      <c r="IA98" s="31"/>
      <c r="IB98" s="31"/>
      <c r="IC98" s="31"/>
      <c r="ID98" s="31"/>
      <c r="IE98" s="31"/>
      <c r="IF98" s="31"/>
      <c r="IG98" s="31"/>
      <c r="IH98" s="31"/>
      <c r="II98" s="31"/>
      <c r="IJ98" s="31"/>
      <c r="IK98" s="31"/>
      <c r="IL98" s="31"/>
      <c r="IM98" s="31"/>
      <c r="IN98" s="31"/>
      <c r="IO98" s="31"/>
      <c r="IP98" s="31"/>
      <c r="IQ98" s="31"/>
    </row>
    <row r="99" spans="1:251" ht="47.45" customHeight="1" x14ac:dyDescent="0.25">
      <c r="A99" s="416" t="s">
        <v>356</v>
      </c>
      <c r="B99" s="72" t="s">
        <v>651</v>
      </c>
      <c r="C99" s="26"/>
      <c r="D99" s="14">
        <v>447.71300000000002</v>
      </c>
      <c r="E99" s="14">
        <v>0</v>
      </c>
      <c r="F99" s="14">
        <v>0</v>
      </c>
      <c r="G99" s="24"/>
      <c r="H99" s="105"/>
      <c r="I99" s="105"/>
      <c r="J99" s="105"/>
      <c r="K99" s="105"/>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c r="CL99" s="31"/>
      <c r="CM99" s="31"/>
      <c r="CN99" s="31"/>
      <c r="CO99" s="31"/>
      <c r="CP99" s="31"/>
      <c r="CQ99" s="31"/>
      <c r="CR99" s="31"/>
      <c r="CS99" s="31"/>
      <c r="CT99" s="31"/>
      <c r="CU99" s="31"/>
      <c r="CV99" s="31"/>
      <c r="CW99" s="31"/>
      <c r="CX99" s="31"/>
      <c r="CY99" s="31"/>
      <c r="CZ99" s="31"/>
      <c r="DA99" s="31"/>
      <c r="DB99" s="31"/>
      <c r="DC99" s="31"/>
      <c r="DD99" s="31"/>
      <c r="DE99" s="31"/>
      <c r="DF99" s="31"/>
      <c r="DG99" s="31"/>
      <c r="DH99" s="31"/>
      <c r="DI99" s="31"/>
      <c r="DJ99" s="31"/>
      <c r="DK99" s="31"/>
      <c r="DL99" s="31"/>
      <c r="DM99" s="31"/>
      <c r="DN99" s="31"/>
      <c r="DO99" s="31"/>
      <c r="DP99" s="31"/>
      <c r="DQ99" s="31"/>
      <c r="DR99" s="31"/>
      <c r="DS99" s="31"/>
      <c r="DT99" s="31"/>
      <c r="DU99" s="31"/>
      <c r="DV99" s="31"/>
      <c r="DW99" s="31"/>
      <c r="DX99" s="31"/>
      <c r="DY99" s="31"/>
      <c r="DZ99" s="31"/>
      <c r="EA99" s="31"/>
      <c r="EB99" s="31"/>
      <c r="EC99" s="31"/>
      <c r="ED99" s="31"/>
      <c r="EE99" s="31"/>
      <c r="EF99" s="31"/>
      <c r="EG99" s="31"/>
      <c r="EH99" s="31"/>
      <c r="EI99" s="31"/>
      <c r="EJ99" s="31"/>
      <c r="EK99" s="31"/>
      <c r="EL99" s="31"/>
      <c r="EM99" s="31"/>
      <c r="EN99" s="31"/>
      <c r="EO99" s="31"/>
      <c r="EP99" s="31"/>
      <c r="EQ99" s="31"/>
      <c r="ER99" s="31"/>
      <c r="ES99" s="31"/>
      <c r="ET99" s="31"/>
      <c r="EU99" s="31"/>
      <c r="EV99" s="31"/>
      <c r="EW99" s="31"/>
      <c r="EX99" s="31"/>
      <c r="EY99" s="31"/>
      <c r="EZ99" s="31"/>
      <c r="FA99" s="31"/>
      <c r="FB99" s="31"/>
      <c r="FC99" s="31"/>
      <c r="FD99" s="31"/>
      <c r="FE99" s="31"/>
      <c r="FF99" s="31"/>
      <c r="FG99" s="31"/>
      <c r="FH99" s="31"/>
      <c r="FI99" s="31"/>
      <c r="FJ99" s="31"/>
      <c r="FK99" s="31"/>
      <c r="FL99" s="31"/>
      <c r="FM99" s="31"/>
      <c r="FN99" s="31"/>
      <c r="FO99" s="31"/>
      <c r="FP99" s="31"/>
      <c r="FQ99" s="31"/>
      <c r="FR99" s="31"/>
      <c r="FS99" s="31"/>
      <c r="FT99" s="31"/>
      <c r="FU99" s="31"/>
      <c r="FV99" s="31"/>
      <c r="FW99" s="31"/>
      <c r="FX99" s="31"/>
      <c r="FY99" s="31"/>
      <c r="FZ99" s="31"/>
      <c r="GA99" s="31"/>
      <c r="GB99" s="31"/>
      <c r="GC99" s="31"/>
      <c r="GD99" s="31"/>
      <c r="GE99" s="31"/>
      <c r="GF99" s="31"/>
      <c r="GG99" s="31"/>
      <c r="GH99" s="31"/>
      <c r="GI99" s="31"/>
      <c r="GJ99" s="31"/>
      <c r="GK99" s="31"/>
      <c r="GL99" s="31"/>
      <c r="GM99" s="31"/>
      <c r="GN99" s="31"/>
      <c r="GO99" s="31"/>
      <c r="GP99" s="31"/>
      <c r="GQ99" s="31"/>
      <c r="GR99" s="31"/>
      <c r="GS99" s="31"/>
      <c r="GT99" s="31"/>
      <c r="GU99" s="31"/>
      <c r="GV99" s="31"/>
      <c r="GW99" s="31"/>
      <c r="GX99" s="31"/>
      <c r="GY99" s="31"/>
      <c r="GZ99" s="31"/>
      <c r="HA99" s="31"/>
      <c r="HB99" s="31"/>
      <c r="HC99" s="31"/>
      <c r="HD99" s="31"/>
      <c r="HE99" s="31"/>
      <c r="HF99" s="31"/>
      <c r="HG99" s="31"/>
      <c r="HH99" s="31"/>
      <c r="HI99" s="31"/>
      <c r="HJ99" s="31"/>
      <c r="HK99" s="31"/>
      <c r="HL99" s="31"/>
      <c r="HM99" s="31"/>
      <c r="HN99" s="31"/>
      <c r="HO99" s="31"/>
      <c r="HP99" s="31"/>
      <c r="HQ99" s="31"/>
      <c r="HR99" s="31"/>
      <c r="HS99" s="31"/>
      <c r="HT99" s="31"/>
      <c r="HU99" s="31"/>
      <c r="HV99" s="31"/>
      <c r="HW99" s="31"/>
      <c r="HX99" s="31"/>
      <c r="HY99" s="31"/>
      <c r="HZ99" s="31"/>
      <c r="IA99" s="31"/>
      <c r="IB99" s="31"/>
      <c r="IC99" s="31"/>
      <c r="ID99" s="31"/>
      <c r="IE99" s="31"/>
      <c r="IF99" s="31"/>
      <c r="IG99" s="31"/>
      <c r="IH99" s="31"/>
      <c r="II99" s="31"/>
      <c r="IJ99" s="31"/>
      <c r="IK99" s="31"/>
      <c r="IL99" s="31"/>
      <c r="IM99" s="31"/>
      <c r="IN99" s="31"/>
      <c r="IO99" s="31"/>
      <c r="IP99" s="31"/>
      <c r="IQ99" s="31"/>
    </row>
    <row r="100" spans="1:251" ht="63" x14ac:dyDescent="0.25">
      <c r="A100" s="416" t="s">
        <v>597</v>
      </c>
      <c r="B100" s="72" t="s">
        <v>598</v>
      </c>
      <c r="C100" s="26"/>
      <c r="D100" s="14">
        <f>3382.85664-2133.38184</f>
        <v>1249.4748</v>
      </c>
      <c r="E100" s="14">
        <v>3382.85664</v>
      </c>
      <c r="F100" s="14">
        <v>4228.5708000000004</v>
      </c>
      <c r="G100" s="24"/>
      <c r="H100" s="105"/>
      <c r="I100" s="105"/>
      <c r="J100" s="105"/>
      <c r="K100" s="105"/>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31"/>
      <c r="CE100" s="31"/>
      <c r="CF100" s="31"/>
      <c r="CG100" s="31"/>
      <c r="CH100" s="31"/>
      <c r="CI100" s="31"/>
      <c r="CJ100" s="31"/>
      <c r="CK100" s="31"/>
      <c r="CL100" s="31"/>
      <c r="CM100" s="31"/>
      <c r="CN100" s="31"/>
      <c r="CO100" s="31"/>
      <c r="CP100" s="31"/>
      <c r="CQ100" s="31"/>
      <c r="CR100" s="31"/>
      <c r="CS100" s="31"/>
      <c r="CT100" s="31"/>
      <c r="CU100" s="31"/>
      <c r="CV100" s="31"/>
      <c r="CW100" s="31"/>
      <c r="CX100" s="31"/>
      <c r="CY100" s="31"/>
      <c r="CZ100" s="31"/>
      <c r="DA100" s="31"/>
      <c r="DB100" s="31"/>
      <c r="DC100" s="31"/>
      <c r="DD100" s="31"/>
      <c r="DE100" s="31"/>
      <c r="DF100" s="31"/>
      <c r="DG100" s="31"/>
      <c r="DH100" s="31"/>
      <c r="DI100" s="31"/>
      <c r="DJ100" s="31"/>
      <c r="DK100" s="31"/>
      <c r="DL100" s="31"/>
      <c r="DM100" s="31"/>
      <c r="DN100" s="31"/>
      <c r="DO100" s="31"/>
      <c r="DP100" s="31"/>
      <c r="DQ100" s="31"/>
      <c r="DR100" s="31"/>
      <c r="DS100" s="31"/>
      <c r="DT100" s="31"/>
      <c r="DU100" s="31"/>
      <c r="DV100" s="31"/>
      <c r="DW100" s="31"/>
      <c r="DX100" s="31"/>
      <c r="DY100" s="31"/>
      <c r="DZ100" s="31"/>
      <c r="EA100" s="31"/>
      <c r="EB100" s="31"/>
      <c r="EC100" s="31"/>
      <c r="ED100" s="31"/>
      <c r="EE100" s="31"/>
      <c r="EF100" s="31"/>
      <c r="EG100" s="31"/>
      <c r="EH100" s="31"/>
      <c r="EI100" s="31"/>
      <c r="EJ100" s="31"/>
      <c r="EK100" s="31"/>
      <c r="EL100" s="31"/>
      <c r="EM100" s="31"/>
      <c r="EN100" s="31"/>
      <c r="EO100" s="31"/>
      <c r="EP100" s="31"/>
      <c r="EQ100" s="31"/>
      <c r="ER100" s="31"/>
      <c r="ES100" s="31"/>
      <c r="ET100" s="31"/>
      <c r="EU100" s="31"/>
      <c r="EV100" s="31"/>
      <c r="EW100" s="31"/>
      <c r="EX100" s="31"/>
      <c r="EY100" s="31"/>
      <c r="EZ100" s="31"/>
      <c r="FA100" s="31"/>
      <c r="FB100" s="31"/>
      <c r="FC100" s="31"/>
      <c r="FD100" s="31"/>
      <c r="FE100" s="31"/>
      <c r="FF100" s="31"/>
      <c r="FG100" s="31"/>
      <c r="FH100" s="31"/>
      <c r="FI100" s="31"/>
      <c r="FJ100" s="31"/>
      <c r="FK100" s="31"/>
      <c r="FL100" s="31"/>
      <c r="FM100" s="31"/>
      <c r="FN100" s="31"/>
      <c r="FO100" s="31"/>
      <c r="FP100" s="31"/>
      <c r="FQ100" s="31"/>
      <c r="FR100" s="31"/>
      <c r="FS100" s="31"/>
      <c r="FT100" s="31"/>
      <c r="FU100" s="31"/>
      <c r="FV100" s="31"/>
      <c r="FW100" s="31"/>
      <c r="FX100" s="31"/>
      <c r="FY100" s="31"/>
      <c r="FZ100" s="31"/>
      <c r="GA100" s="31"/>
      <c r="GB100" s="31"/>
      <c r="GC100" s="31"/>
      <c r="GD100" s="31"/>
      <c r="GE100" s="31"/>
      <c r="GF100" s="31"/>
      <c r="GG100" s="31"/>
      <c r="GH100" s="31"/>
      <c r="GI100" s="31"/>
      <c r="GJ100" s="31"/>
      <c r="GK100" s="31"/>
      <c r="GL100" s="31"/>
      <c r="GM100" s="31"/>
      <c r="GN100" s="31"/>
      <c r="GO100" s="31"/>
      <c r="GP100" s="31"/>
      <c r="GQ100" s="31"/>
      <c r="GR100" s="31"/>
      <c r="GS100" s="31"/>
      <c r="GT100" s="31"/>
      <c r="GU100" s="31"/>
      <c r="GV100" s="31"/>
      <c r="GW100" s="31"/>
      <c r="GX100" s="31"/>
      <c r="GY100" s="31"/>
      <c r="GZ100" s="31"/>
      <c r="HA100" s="31"/>
      <c r="HB100" s="31"/>
      <c r="HC100" s="31"/>
      <c r="HD100" s="31"/>
      <c r="HE100" s="31"/>
      <c r="HF100" s="31"/>
      <c r="HG100" s="31"/>
      <c r="HH100" s="31"/>
      <c r="HI100" s="31"/>
      <c r="HJ100" s="31"/>
      <c r="HK100" s="31"/>
      <c r="HL100" s="31"/>
      <c r="HM100" s="31"/>
      <c r="HN100" s="31"/>
      <c r="HO100" s="31"/>
      <c r="HP100" s="31"/>
      <c r="HQ100" s="31"/>
      <c r="HR100" s="31"/>
      <c r="HS100" s="31"/>
      <c r="HT100" s="31"/>
      <c r="HU100" s="31"/>
      <c r="HV100" s="31"/>
      <c r="HW100" s="31"/>
      <c r="HX100" s="31"/>
      <c r="HY100" s="31"/>
      <c r="HZ100" s="31"/>
      <c r="IA100" s="31"/>
      <c r="IB100" s="31"/>
      <c r="IC100" s="31"/>
      <c r="ID100" s="31"/>
      <c r="IE100" s="31"/>
      <c r="IF100" s="31"/>
      <c r="IG100" s="31"/>
      <c r="IH100" s="31"/>
      <c r="II100" s="31"/>
      <c r="IJ100" s="31"/>
      <c r="IK100" s="31"/>
      <c r="IL100" s="31"/>
      <c r="IM100" s="31"/>
      <c r="IN100" s="31"/>
      <c r="IO100" s="31"/>
      <c r="IP100" s="31"/>
      <c r="IQ100" s="31"/>
    </row>
    <row r="101" spans="1:251" ht="47.25" x14ac:dyDescent="0.25">
      <c r="A101" s="416" t="s">
        <v>408</v>
      </c>
      <c r="B101" s="72" t="s">
        <v>411</v>
      </c>
      <c r="C101" s="26">
        <v>0</v>
      </c>
      <c r="D101" s="14">
        <f>21411+3393+16803.54</f>
        <v>41607.54</v>
      </c>
      <c r="E101" s="14">
        <v>21411</v>
      </c>
      <c r="F101" s="14">
        <v>21411</v>
      </c>
      <c r="G101" s="24"/>
      <c r="H101" s="105"/>
      <c r="I101" s="105"/>
      <c r="J101" s="105"/>
      <c r="K101" s="105"/>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c r="CF101" s="31"/>
      <c r="CG101" s="31"/>
      <c r="CH101" s="31"/>
      <c r="CI101" s="31"/>
      <c r="CJ101" s="31"/>
      <c r="CK101" s="31"/>
      <c r="CL101" s="31"/>
      <c r="CM101" s="31"/>
      <c r="CN101" s="31"/>
      <c r="CO101" s="31"/>
      <c r="CP101" s="31"/>
      <c r="CQ101" s="31"/>
      <c r="CR101" s="31"/>
      <c r="CS101" s="31"/>
      <c r="CT101" s="31"/>
      <c r="CU101" s="31"/>
      <c r="CV101" s="31"/>
      <c r="CW101" s="31"/>
      <c r="CX101" s="31"/>
      <c r="CY101" s="31"/>
      <c r="CZ101" s="31"/>
      <c r="DA101" s="31"/>
      <c r="DB101" s="31"/>
      <c r="DC101" s="31"/>
      <c r="DD101" s="31"/>
      <c r="DE101" s="31"/>
      <c r="DF101" s="31"/>
      <c r="DG101" s="31"/>
      <c r="DH101" s="31"/>
      <c r="DI101" s="31"/>
      <c r="DJ101" s="31"/>
      <c r="DK101" s="31"/>
      <c r="DL101" s="31"/>
      <c r="DM101" s="31"/>
      <c r="DN101" s="31"/>
      <c r="DO101" s="31"/>
      <c r="DP101" s="31"/>
      <c r="DQ101" s="31"/>
      <c r="DR101" s="31"/>
      <c r="DS101" s="31"/>
      <c r="DT101" s="31"/>
      <c r="DU101" s="31"/>
      <c r="DV101" s="31"/>
      <c r="DW101" s="31"/>
      <c r="DX101" s="31"/>
      <c r="DY101" s="31"/>
      <c r="DZ101" s="31"/>
      <c r="EA101" s="31"/>
      <c r="EB101" s="31"/>
      <c r="EC101" s="31"/>
      <c r="ED101" s="31"/>
      <c r="EE101" s="31"/>
      <c r="EF101" s="31"/>
      <c r="EG101" s="31"/>
      <c r="EH101" s="31"/>
      <c r="EI101" s="31"/>
      <c r="EJ101" s="31"/>
      <c r="EK101" s="31"/>
      <c r="EL101" s="31"/>
      <c r="EM101" s="31"/>
      <c r="EN101" s="31"/>
      <c r="EO101" s="31"/>
      <c r="EP101" s="31"/>
      <c r="EQ101" s="31"/>
      <c r="ER101" s="31"/>
      <c r="ES101" s="31"/>
      <c r="ET101" s="31"/>
      <c r="EU101" s="31"/>
      <c r="EV101" s="31"/>
      <c r="EW101" s="31"/>
      <c r="EX101" s="31"/>
      <c r="EY101" s="31"/>
      <c r="EZ101" s="31"/>
      <c r="FA101" s="31"/>
      <c r="FB101" s="31"/>
      <c r="FC101" s="31"/>
      <c r="FD101" s="31"/>
      <c r="FE101" s="31"/>
      <c r="FF101" s="31"/>
      <c r="FG101" s="31"/>
      <c r="FH101" s="31"/>
      <c r="FI101" s="31"/>
      <c r="FJ101" s="31"/>
      <c r="FK101" s="31"/>
      <c r="FL101" s="31"/>
      <c r="FM101" s="31"/>
      <c r="FN101" s="31"/>
      <c r="FO101" s="31"/>
      <c r="FP101" s="31"/>
      <c r="FQ101" s="31"/>
      <c r="FR101" s="31"/>
      <c r="FS101" s="31"/>
      <c r="FT101" s="31"/>
      <c r="FU101" s="31"/>
      <c r="FV101" s="31"/>
      <c r="FW101" s="31"/>
      <c r="FX101" s="31"/>
      <c r="FY101" s="31"/>
      <c r="FZ101" s="31"/>
      <c r="GA101" s="31"/>
      <c r="GB101" s="31"/>
      <c r="GC101" s="31"/>
      <c r="GD101" s="31"/>
      <c r="GE101" s="31"/>
      <c r="GF101" s="31"/>
      <c r="GG101" s="31"/>
      <c r="GH101" s="31"/>
      <c r="GI101" s="31"/>
      <c r="GJ101" s="31"/>
      <c r="GK101" s="31"/>
      <c r="GL101" s="31"/>
      <c r="GM101" s="31"/>
      <c r="GN101" s="31"/>
      <c r="GO101" s="31"/>
      <c r="GP101" s="31"/>
      <c r="GQ101" s="31"/>
      <c r="GR101" s="31"/>
      <c r="GS101" s="31"/>
      <c r="GT101" s="31"/>
      <c r="GU101" s="31"/>
      <c r="GV101" s="31"/>
      <c r="GW101" s="31"/>
      <c r="GX101" s="31"/>
      <c r="GY101" s="31"/>
      <c r="GZ101" s="31"/>
      <c r="HA101" s="31"/>
      <c r="HB101" s="31"/>
      <c r="HC101" s="31"/>
      <c r="HD101" s="31"/>
      <c r="HE101" s="31"/>
      <c r="HF101" s="31"/>
      <c r="HG101" s="31"/>
      <c r="HH101" s="31"/>
      <c r="HI101" s="31"/>
      <c r="HJ101" s="31"/>
      <c r="HK101" s="31"/>
      <c r="HL101" s="31"/>
      <c r="HM101" s="31"/>
      <c r="HN101" s="31"/>
      <c r="HO101" s="31"/>
      <c r="HP101" s="31"/>
      <c r="HQ101" s="31"/>
      <c r="HR101" s="31"/>
      <c r="HS101" s="31"/>
      <c r="HT101" s="31"/>
      <c r="HU101" s="31"/>
      <c r="HV101" s="31"/>
      <c r="HW101" s="31"/>
      <c r="HX101" s="31"/>
      <c r="HY101" s="31"/>
      <c r="HZ101" s="31"/>
      <c r="IA101" s="31"/>
      <c r="IB101" s="31"/>
      <c r="IC101" s="31"/>
      <c r="ID101" s="31"/>
      <c r="IE101" s="31"/>
      <c r="IF101" s="31"/>
      <c r="IG101" s="31"/>
      <c r="IH101" s="31"/>
      <c r="II101" s="31"/>
      <c r="IJ101" s="31"/>
      <c r="IK101" s="31"/>
      <c r="IL101" s="31"/>
      <c r="IM101" s="31"/>
      <c r="IN101" s="31"/>
      <c r="IO101" s="31"/>
      <c r="IP101" s="31"/>
      <c r="IQ101" s="31"/>
    </row>
    <row r="102" spans="1:251" ht="126" x14ac:dyDescent="0.25">
      <c r="A102" s="416" t="s">
        <v>1129</v>
      </c>
      <c r="B102" s="72" t="s">
        <v>1130</v>
      </c>
      <c r="C102" s="26"/>
      <c r="D102" s="14">
        <v>166.65600000000001</v>
      </c>
      <c r="E102" s="14">
        <v>0</v>
      </c>
      <c r="F102" s="14">
        <v>0</v>
      </c>
      <c r="G102" s="24"/>
      <c r="H102" s="105"/>
      <c r="I102" s="105"/>
      <c r="J102" s="105"/>
      <c r="K102" s="105"/>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c r="BY102" s="31"/>
      <c r="BZ102" s="31"/>
      <c r="CA102" s="31"/>
      <c r="CB102" s="31"/>
      <c r="CC102" s="31"/>
      <c r="CD102" s="31"/>
      <c r="CE102" s="31"/>
      <c r="CF102" s="31"/>
      <c r="CG102" s="31"/>
      <c r="CH102" s="31"/>
      <c r="CI102" s="31"/>
      <c r="CJ102" s="31"/>
      <c r="CK102" s="31"/>
      <c r="CL102" s="31"/>
      <c r="CM102" s="31"/>
      <c r="CN102" s="31"/>
      <c r="CO102" s="31"/>
      <c r="CP102" s="31"/>
      <c r="CQ102" s="31"/>
      <c r="CR102" s="31"/>
      <c r="CS102" s="31"/>
      <c r="CT102" s="31"/>
      <c r="CU102" s="31"/>
      <c r="CV102" s="31"/>
      <c r="CW102" s="31"/>
      <c r="CX102" s="31"/>
      <c r="CY102" s="31"/>
      <c r="CZ102" s="31"/>
      <c r="DA102" s="31"/>
      <c r="DB102" s="31"/>
      <c r="DC102" s="31"/>
      <c r="DD102" s="31"/>
      <c r="DE102" s="31"/>
      <c r="DF102" s="31"/>
      <c r="DG102" s="31"/>
      <c r="DH102" s="31"/>
      <c r="DI102" s="31"/>
      <c r="DJ102" s="31"/>
      <c r="DK102" s="31"/>
      <c r="DL102" s="31"/>
      <c r="DM102" s="31"/>
      <c r="DN102" s="31"/>
      <c r="DO102" s="31"/>
      <c r="DP102" s="31"/>
      <c r="DQ102" s="31"/>
      <c r="DR102" s="31"/>
      <c r="DS102" s="31"/>
      <c r="DT102" s="31"/>
      <c r="DU102" s="31"/>
      <c r="DV102" s="31"/>
      <c r="DW102" s="31"/>
      <c r="DX102" s="31"/>
      <c r="DY102" s="31"/>
      <c r="DZ102" s="31"/>
      <c r="EA102" s="31"/>
      <c r="EB102" s="31"/>
      <c r="EC102" s="31"/>
      <c r="ED102" s="31"/>
      <c r="EE102" s="31"/>
      <c r="EF102" s="31"/>
      <c r="EG102" s="31"/>
      <c r="EH102" s="31"/>
      <c r="EI102" s="31"/>
      <c r="EJ102" s="31"/>
      <c r="EK102" s="31"/>
      <c r="EL102" s="31"/>
      <c r="EM102" s="31"/>
      <c r="EN102" s="31"/>
      <c r="EO102" s="31"/>
      <c r="EP102" s="31"/>
      <c r="EQ102" s="31"/>
      <c r="ER102" s="31"/>
      <c r="ES102" s="31"/>
      <c r="ET102" s="31"/>
      <c r="EU102" s="31"/>
      <c r="EV102" s="31"/>
      <c r="EW102" s="31"/>
      <c r="EX102" s="31"/>
      <c r="EY102" s="31"/>
      <c r="EZ102" s="31"/>
      <c r="FA102" s="31"/>
      <c r="FB102" s="31"/>
      <c r="FC102" s="31"/>
      <c r="FD102" s="31"/>
      <c r="FE102" s="31"/>
      <c r="FF102" s="31"/>
      <c r="FG102" s="31"/>
      <c r="FH102" s="31"/>
      <c r="FI102" s="31"/>
      <c r="FJ102" s="31"/>
      <c r="FK102" s="31"/>
      <c r="FL102" s="31"/>
      <c r="FM102" s="31"/>
      <c r="FN102" s="31"/>
      <c r="FO102" s="31"/>
      <c r="FP102" s="31"/>
      <c r="FQ102" s="31"/>
      <c r="FR102" s="31"/>
      <c r="FS102" s="31"/>
      <c r="FT102" s="31"/>
      <c r="FU102" s="31"/>
      <c r="FV102" s="31"/>
      <c r="FW102" s="31"/>
      <c r="FX102" s="31"/>
      <c r="FY102" s="31"/>
      <c r="FZ102" s="31"/>
      <c r="GA102" s="31"/>
      <c r="GB102" s="31"/>
      <c r="GC102" s="31"/>
      <c r="GD102" s="31"/>
      <c r="GE102" s="31"/>
      <c r="GF102" s="31"/>
      <c r="GG102" s="31"/>
      <c r="GH102" s="31"/>
      <c r="GI102" s="31"/>
      <c r="GJ102" s="31"/>
      <c r="GK102" s="31"/>
      <c r="GL102" s="31"/>
      <c r="GM102" s="31"/>
      <c r="GN102" s="31"/>
      <c r="GO102" s="31"/>
      <c r="GP102" s="31"/>
      <c r="GQ102" s="31"/>
      <c r="GR102" s="31"/>
      <c r="GS102" s="31"/>
      <c r="GT102" s="31"/>
      <c r="GU102" s="31"/>
      <c r="GV102" s="31"/>
      <c r="GW102" s="31"/>
      <c r="GX102" s="31"/>
      <c r="GY102" s="31"/>
      <c r="GZ102" s="31"/>
      <c r="HA102" s="31"/>
      <c r="HB102" s="31"/>
      <c r="HC102" s="31"/>
      <c r="HD102" s="31"/>
      <c r="HE102" s="31"/>
      <c r="HF102" s="31"/>
      <c r="HG102" s="31"/>
      <c r="HH102" s="31"/>
      <c r="HI102" s="31"/>
      <c r="HJ102" s="31"/>
      <c r="HK102" s="31"/>
      <c r="HL102" s="31"/>
      <c r="HM102" s="31"/>
      <c r="HN102" s="31"/>
      <c r="HO102" s="31"/>
      <c r="HP102" s="31"/>
      <c r="HQ102" s="31"/>
      <c r="HR102" s="31"/>
      <c r="HS102" s="31"/>
      <c r="HT102" s="31"/>
      <c r="HU102" s="31"/>
      <c r="HV102" s="31"/>
      <c r="HW102" s="31"/>
      <c r="HX102" s="31"/>
      <c r="HY102" s="31"/>
      <c r="HZ102" s="31"/>
      <c r="IA102" s="31"/>
      <c r="IB102" s="31"/>
      <c r="IC102" s="31"/>
      <c r="ID102" s="31"/>
      <c r="IE102" s="31"/>
      <c r="IF102" s="31"/>
      <c r="IG102" s="31"/>
      <c r="IH102" s="31"/>
      <c r="II102" s="31"/>
      <c r="IJ102" s="31"/>
      <c r="IK102" s="31"/>
      <c r="IL102" s="31"/>
      <c r="IM102" s="31"/>
      <c r="IN102" s="31"/>
      <c r="IO102" s="31"/>
      <c r="IP102" s="31"/>
      <c r="IQ102" s="31"/>
    </row>
    <row r="103" spans="1:251" x14ac:dyDescent="0.25">
      <c r="A103" s="416"/>
      <c r="B103" s="71" t="s">
        <v>176</v>
      </c>
      <c r="C103" s="25" t="e">
        <f>C10+C41</f>
        <v>#REF!</v>
      </c>
      <c r="D103" s="25">
        <f>D10+D41</f>
        <v>978367.36400000006</v>
      </c>
      <c r="E103" s="25">
        <f>E10+E41</f>
        <v>754632.78599999985</v>
      </c>
      <c r="F103" s="25">
        <f>F10+F41</f>
        <v>766856.98444000003</v>
      </c>
      <c r="G103" s="24"/>
      <c r="H103" s="105"/>
      <c r="I103" s="105"/>
      <c r="J103" s="105"/>
      <c r="K103" s="105"/>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c r="BZ103" s="31"/>
      <c r="CA103" s="31"/>
      <c r="CB103" s="31"/>
      <c r="CC103" s="31"/>
      <c r="CD103" s="31"/>
      <c r="CE103" s="31"/>
      <c r="CF103" s="31"/>
      <c r="CG103" s="31"/>
      <c r="CH103" s="31"/>
      <c r="CI103" s="31"/>
      <c r="CJ103" s="31"/>
      <c r="CK103" s="31"/>
      <c r="CL103" s="31"/>
      <c r="CM103" s="31"/>
      <c r="CN103" s="31"/>
      <c r="CO103" s="31"/>
      <c r="CP103" s="31"/>
      <c r="CQ103" s="31"/>
      <c r="CR103" s="31"/>
      <c r="CS103" s="31"/>
      <c r="CT103" s="31"/>
      <c r="CU103" s="31"/>
      <c r="CV103" s="31"/>
      <c r="CW103" s="31"/>
      <c r="CX103" s="31"/>
      <c r="CY103" s="31"/>
      <c r="CZ103" s="31"/>
      <c r="DA103" s="31"/>
      <c r="DB103" s="31"/>
      <c r="DC103" s="31"/>
      <c r="DD103" s="31"/>
      <c r="DE103" s="31"/>
      <c r="DF103" s="31"/>
      <c r="DG103" s="31"/>
      <c r="DH103" s="31"/>
      <c r="DI103" s="31"/>
      <c r="DJ103" s="31"/>
      <c r="DK103" s="31"/>
      <c r="DL103" s="31"/>
      <c r="DM103" s="31"/>
      <c r="DN103" s="31"/>
      <c r="DO103" s="31"/>
      <c r="DP103" s="31"/>
      <c r="DQ103" s="31"/>
      <c r="DR103" s="31"/>
      <c r="DS103" s="31"/>
      <c r="DT103" s="31"/>
      <c r="DU103" s="31"/>
      <c r="DV103" s="31"/>
      <c r="DW103" s="31"/>
      <c r="DX103" s="31"/>
      <c r="DY103" s="31"/>
      <c r="DZ103" s="31"/>
      <c r="EA103" s="31"/>
      <c r="EB103" s="31"/>
      <c r="EC103" s="31"/>
      <c r="ED103" s="31"/>
      <c r="EE103" s="31"/>
      <c r="EF103" s="31"/>
      <c r="EG103" s="31"/>
      <c r="EH103" s="31"/>
      <c r="EI103" s="31"/>
      <c r="EJ103" s="31"/>
      <c r="EK103" s="31"/>
      <c r="EL103" s="31"/>
      <c r="EM103" s="31"/>
      <c r="EN103" s="31"/>
      <c r="EO103" s="31"/>
      <c r="EP103" s="31"/>
      <c r="EQ103" s="31"/>
      <c r="ER103" s="31"/>
      <c r="ES103" s="31"/>
      <c r="ET103" s="31"/>
      <c r="EU103" s="31"/>
      <c r="EV103" s="31"/>
      <c r="EW103" s="31"/>
      <c r="EX103" s="31"/>
      <c r="EY103" s="31"/>
      <c r="EZ103" s="31"/>
      <c r="FA103" s="31"/>
      <c r="FB103" s="31"/>
      <c r="FC103" s="31"/>
      <c r="FD103" s="31"/>
      <c r="FE103" s="31"/>
      <c r="FF103" s="31"/>
      <c r="FG103" s="31"/>
      <c r="FH103" s="31"/>
      <c r="FI103" s="31"/>
      <c r="FJ103" s="31"/>
      <c r="FK103" s="31"/>
      <c r="FL103" s="31"/>
      <c r="FM103" s="31"/>
      <c r="FN103" s="31"/>
      <c r="FO103" s="31"/>
      <c r="FP103" s="31"/>
      <c r="FQ103" s="31"/>
      <c r="FR103" s="31"/>
      <c r="FS103" s="31"/>
      <c r="FT103" s="31"/>
      <c r="FU103" s="31"/>
      <c r="FV103" s="31"/>
      <c r="FW103" s="31"/>
      <c r="FX103" s="31"/>
      <c r="FY103" s="31"/>
      <c r="FZ103" s="31"/>
      <c r="GA103" s="31"/>
      <c r="GB103" s="31"/>
      <c r="GC103" s="31"/>
      <c r="GD103" s="31"/>
      <c r="GE103" s="31"/>
      <c r="GF103" s="31"/>
      <c r="GG103" s="31"/>
      <c r="GH103" s="31"/>
      <c r="GI103" s="31"/>
      <c r="GJ103" s="31"/>
      <c r="GK103" s="31"/>
      <c r="GL103" s="31"/>
      <c r="GM103" s="31"/>
      <c r="GN103" s="31"/>
      <c r="GO103" s="31"/>
      <c r="GP103" s="31"/>
      <c r="GQ103" s="31"/>
      <c r="GR103" s="31"/>
      <c r="GS103" s="31"/>
      <c r="GT103" s="31"/>
      <c r="GU103" s="31"/>
      <c r="GV103" s="31"/>
      <c r="GW103" s="31"/>
      <c r="GX103" s="31"/>
      <c r="GY103" s="31"/>
      <c r="GZ103" s="31"/>
      <c r="HA103" s="31"/>
      <c r="HB103" s="31"/>
      <c r="HC103" s="31"/>
      <c r="HD103" s="31"/>
      <c r="HE103" s="31"/>
      <c r="HF103" s="31"/>
      <c r="HG103" s="31"/>
      <c r="HH103" s="31"/>
      <c r="HI103" s="31"/>
      <c r="HJ103" s="31"/>
      <c r="HK103" s="31"/>
      <c r="HL103" s="31"/>
      <c r="HM103" s="31"/>
      <c r="HN103" s="31"/>
      <c r="HO103" s="31"/>
      <c r="HP103" s="31"/>
      <c r="HQ103" s="31"/>
      <c r="HR103" s="31"/>
      <c r="HS103" s="31"/>
      <c r="HT103" s="31"/>
      <c r="HU103" s="31"/>
      <c r="HV103" s="31"/>
      <c r="HW103" s="31"/>
      <c r="HX103" s="31"/>
      <c r="HY103" s="31"/>
      <c r="HZ103" s="31"/>
      <c r="IA103" s="31"/>
      <c r="IB103" s="31"/>
      <c r="IC103" s="31"/>
      <c r="ID103" s="31"/>
      <c r="IE103" s="31"/>
      <c r="IF103" s="31"/>
      <c r="IG103" s="31"/>
      <c r="IH103" s="31"/>
      <c r="II103" s="31"/>
      <c r="IJ103" s="31"/>
      <c r="IK103" s="31"/>
      <c r="IL103" s="31"/>
      <c r="IM103" s="31"/>
      <c r="IN103" s="31"/>
      <c r="IO103" s="31"/>
      <c r="IP103" s="31"/>
      <c r="IQ103" s="31"/>
    </row>
    <row r="104" spans="1:251" ht="49.15" customHeight="1" x14ac:dyDescent="0.25">
      <c r="C104" s="299"/>
      <c r="D104" s="24">
        <f>D103-D105</f>
        <v>4367.6229500001064</v>
      </c>
      <c r="G104" s="287"/>
      <c r="H104" s="103"/>
      <c r="I104" s="103"/>
      <c r="J104" s="103"/>
      <c r="K104" s="103"/>
    </row>
    <row r="105" spans="1:251" ht="51" customHeight="1" x14ac:dyDescent="0.25">
      <c r="C105" s="107"/>
      <c r="D105" s="24">
        <v>973999.74104999995</v>
      </c>
      <c r="F105" s="24"/>
      <c r="G105" s="287"/>
      <c r="H105" s="103"/>
      <c r="I105" s="103"/>
      <c r="J105" s="103"/>
      <c r="K105" s="103"/>
    </row>
    <row r="106" spans="1:251" x14ac:dyDescent="0.25">
      <c r="C106" s="107"/>
      <c r="G106" s="287"/>
      <c r="H106" s="103"/>
      <c r="I106" s="103"/>
      <c r="J106" s="103"/>
      <c r="K106" s="103"/>
    </row>
    <row r="107" spans="1:251" x14ac:dyDescent="0.25">
      <c r="C107" s="107"/>
      <c r="G107" s="287"/>
      <c r="H107" s="103"/>
      <c r="I107" s="103"/>
      <c r="J107" s="103"/>
      <c r="K107" s="103"/>
    </row>
    <row r="111" spans="1:251" ht="67.900000000000006" customHeight="1" x14ac:dyDescent="0.25"/>
    <row r="112" spans="1:251" ht="54" customHeight="1" x14ac:dyDescent="0.25"/>
    <row r="114" ht="51.6" customHeight="1" x14ac:dyDescent="0.25"/>
    <row r="115" ht="65.45" customHeight="1" x14ac:dyDescent="0.25"/>
    <row r="116" ht="50.45" customHeight="1" x14ac:dyDescent="0.25"/>
  </sheetData>
  <mergeCells count="13">
    <mergeCell ref="B70:C70"/>
    <mergeCell ref="A6:F6"/>
    <mergeCell ref="D1:F1"/>
    <mergeCell ref="D2:F2"/>
    <mergeCell ref="D3:F3"/>
    <mergeCell ref="A8:A9"/>
    <mergeCell ref="B8:B9"/>
    <mergeCell ref="C8:C9"/>
    <mergeCell ref="D8:D9"/>
    <mergeCell ref="E8:E9"/>
    <mergeCell ref="F8:F9"/>
    <mergeCell ref="D4:F4"/>
    <mergeCell ref="B46:C46"/>
  </mergeCells>
  <pageMargins left="0.25" right="0.25" top="0.75" bottom="0.75" header="0.3" footer="0.3"/>
  <pageSetup paperSize="9" scale="58" fitToHeight="0" orientation="portrait" r:id="rId1"/>
  <rowBreaks count="1" manualBreakCount="1">
    <brk id="44"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986"/>
  <sheetViews>
    <sheetView view="pageBreakPreview" zoomScale="120" zoomScaleSheetLayoutView="120" workbookViewId="0">
      <selection activeCell="A18" sqref="A18"/>
    </sheetView>
  </sheetViews>
  <sheetFormatPr defaultColWidth="8.7109375" defaultRowHeight="15.75" x14ac:dyDescent="0.25"/>
  <cols>
    <col min="1" max="1" width="46" style="34" customWidth="1"/>
    <col min="2" max="2" width="4.7109375" style="33" customWidth="1"/>
    <col min="3" max="3" width="5.42578125" style="33" customWidth="1"/>
    <col min="4" max="4" width="17.28515625" style="33" customWidth="1"/>
    <col min="5" max="5" width="5.5703125" style="33" customWidth="1"/>
    <col min="6" max="6" width="18.85546875" style="112" customWidth="1"/>
    <col min="7" max="7" width="20" style="112" customWidth="1"/>
    <col min="8" max="8" width="18.85546875" style="112" customWidth="1"/>
    <col min="9" max="10" width="15.42578125" style="112" bestFit="1" customWidth="1"/>
    <col min="11" max="11" width="18" style="112" customWidth="1"/>
    <col min="12" max="16384" width="8.7109375" style="112"/>
  </cols>
  <sheetData>
    <row r="1" spans="1:9" x14ac:dyDescent="0.25">
      <c r="A1" s="441" t="s">
        <v>663</v>
      </c>
      <c r="B1" s="441"/>
      <c r="C1" s="441"/>
      <c r="D1" s="441"/>
      <c r="E1" s="441"/>
      <c r="F1" s="441"/>
      <c r="G1" s="441"/>
      <c r="H1" s="441"/>
    </row>
    <row r="2" spans="1:9" x14ac:dyDescent="0.25">
      <c r="A2" s="441" t="s">
        <v>219</v>
      </c>
      <c r="B2" s="441"/>
      <c r="C2" s="441"/>
      <c r="D2" s="441"/>
      <c r="E2" s="441"/>
      <c r="F2" s="441"/>
      <c r="G2" s="441"/>
      <c r="H2" s="441"/>
    </row>
    <row r="3" spans="1:9" x14ac:dyDescent="0.25">
      <c r="A3" s="441" t="s">
        <v>220</v>
      </c>
      <c r="B3" s="441"/>
      <c r="C3" s="441"/>
      <c r="D3" s="441"/>
      <c r="E3" s="441"/>
      <c r="F3" s="441"/>
      <c r="G3" s="441"/>
      <c r="H3" s="441"/>
    </row>
    <row r="4" spans="1:9" ht="15.75" customHeight="1" x14ac:dyDescent="0.25">
      <c r="A4" s="442" t="s">
        <v>1139</v>
      </c>
      <c r="B4" s="442"/>
      <c r="C4" s="442"/>
      <c r="D4" s="442"/>
      <c r="E4" s="442"/>
      <c r="F4" s="442"/>
      <c r="G4" s="442"/>
      <c r="H4" s="442"/>
    </row>
    <row r="5" spans="1:9" ht="4.5" customHeight="1" x14ac:dyDescent="0.25"/>
    <row r="6" spans="1:9" x14ac:dyDescent="0.2">
      <c r="A6" s="439" t="s">
        <v>221</v>
      </c>
      <c r="B6" s="439"/>
      <c r="C6" s="439"/>
      <c r="D6" s="439"/>
      <c r="E6" s="439"/>
      <c r="F6" s="439"/>
      <c r="G6" s="439"/>
      <c r="H6" s="439"/>
    </row>
    <row r="7" spans="1:9" ht="16.5" customHeight="1" x14ac:dyDescent="0.2">
      <c r="A7" s="439" t="s">
        <v>923</v>
      </c>
      <c r="B7" s="439"/>
      <c r="C7" s="439"/>
      <c r="D7" s="439"/>
      <c r="E7" s="439"/>
      <c r="F7" s="439"/>
      <c r="G7" s="439"/>
      <c r="H7" s="439"/>
    </row>
    <row r="8" spans="1:9" ht="15.75" customHeight="1" x14ac:dyDescent="0.2">
      <c r="A8" s="439" t="s">
        <v>664</v>
      </c>
      <c r="B8" s="439"/>
      <c r="C8" s="439"/>
      <c r="D8" s="439"/>
      <c r="E8" s="439"/>
      <c r="F8" s="439"/>
      <c r="G8" s="439"/>
      <c r="H8" s="439"/>
    </row>
    <row r="9" spans="1:9" ht="29.45" customHeight="1" x14ac:dyDescent="0.2">
      <c r="A9" s="113"/>
      <c r="B9" s="113"/>
      <c r="C9" s="114"/>
      <c r="D9" s="114"/>
      <c r="E9" s="114"/>
      <c r="F9" s="114"/>
      <c r="G9" s="114"/>
      <c r="H9" s="115" t="s">
        <v>102</v>
      </c>
    </row>
    <row r="10" spans="1:9" ht="12" customHeight="1" x14ac:dyDescent="0.2">
      <c r="A10" s="440" t="s">
        <v>204</v>
      </c>
      <c r="B10" s="440" t="s">
        <v>105</v>
      </c>
      <c r="C10" s="440" t="s">
        <v>106</v>
      </c>
      <c r="D10" s="440" t="s">
        <v>205</v>
      </c>
      <c r="E10" s="440" t="s">
        <v>107</v>
      </c>
      <c r="F10" s="440" t="s">
        <v>501</v>
      </c>
      <c r="G10" s="440" t="s">
        <v>562</v>
      </c>
      <c r="H10" s="440" t="s">
        <v>656</v>
      </c>
    </row>
    <row r="11" spans="1:9" ht="52.5" customHeight="1" x14ac:dyDescent="0.2">
      <c r="A11" s="440"/>
      <c r="B11" s="440"/>
      <c r="C11" s="440"/>
      <c r="D11" s="440"/>
      <c r="E11" s="440"/>
      <c r="F11" s="440"/>
      <c r="G11" s="440"/>
      <c r="H11" s="440"/>
    </row>
    <row r="12" spans="1:9" s="116" customFormat="1" ht="15.6" customHeight="1" x14ac:dyDescent="0.2">
      <c r="A12" s="419">
        <v>1</v>
      </c>
      <c r="B12" s="419">
        <v>2</v>
      </c>
      <c r="C12" s="419">
        <v>3</v>
      </c>
      <c r="D12" s="419">
        <v>4</v>
      </c>
      <c r="E12" s="419">
        <v>5</v>
      </c>
      <c r="F12" s="419">
        <v>6</v>
      </c>
      <c r="G12" s="419">
        <v>7</v>
      </c>
      <c r="H12" s="419">
        <v>8</v>
      </c>
    </row>
    <row r="13" spans="1:9" s="120" customFormat="1" ht="18.75" customHeight="1" x14ac:dyDescent="0.2">
      <c r="A13" s="117" t="s">
        <v>665</v>
      </c>
      <c r="B13" s="118" t="s">
        <v>108</v>
      </c>
      <c r="C13" s="118" t="s">
        <v>109</v>
      </c>
      <c r="D13" s="118" t="s">
        <v>666</v>
      </c>
      <c r="E13" s="118" t="s">
        <v>222</v>
      </c>
      <c r="F13" s="119">
        <f>F14+F20+F35+F50+F72+F76+F82+F88+F47</f>
        <v>96146.822489999991</v>
      </c>
      <c r="G13" s="119">
        <f>G14+G20+G35+G50+G72+G76+G82+G88+G47</f>
        <v>86561.024349999992</v>
      </c>
      <c r="H13" s="119">
        <f>H14+H20+H35+H50+H72+H76+H82+H88+H47</f>
        <v>86908.923340000008</v>
      </c>
    </row>
    <row r="14" spans="1:9" s="125" customFormat="1" ht="54" customHeight="1" x14ac:dyDescent="0.2">
      <c r="A14" s="249" t="s">
        <v>667</v>
      </c>
      <c r="B14" s="122" t="s">
        <v>108</v>
      </c>
      <c r="C14" s="122" t="s">
        <v>668</v>
      </c>
      <c r="D14" s="122" t="s">
        <v>666</v>
      </c>
      <c r="E14" s="122" t="s">
        <v>222</v>
      </c>
      <c r="F14" s="123">
        <f t="shared" ref="F14:H18" si="0">F15</f>
        <v>3401.1759499999998</v>
      </c>
      <c r="G14" s="123">
        <f t="shared" si="0"/>
        <v>3257.7</v>
      </c>
      <c r="H14" s="123">
        <f t="shared" si="0"/>
        <v>3257.7</v>
      </c>
      <c r="I14" s="124"/>
    </row>
    <row r="15" spans="1:9" ht="33" customHeight="1" x14ac:dyDescent="0.2">
      <c r="A15" s="250" t="s">
        <v>669</v>
      </c>
      <c r="B15" s="127" t="s">
        <v>108</v>
      </c>
      <c r="C15" s="127" t="s">
        <v>668</v>
      </c>
      <c r="D15" s="127" t="s">
        <v>5</v>
      </c>
      <c r="E15" s="127" t="s">
        <v>222</v>
      </c>
      <c r="F15" s="128">
        <f t="shared" si="0"/>
        <v>3401.1759499999998</v>
      </c>
      <c r="G15" s="128">
        <f t="shared" si="0"/>
        <v>3257.7</v>
      </c>
      <c r="H15" s="128">
        <f t="shared" si="0"/>
        <v>3257.7</v>
      </c>
    </row>
    <row r="16" spans="1:9" ht="48" customHeight="1" x14ac:dyDescent="0.2">
      <c r="A16" s="250" t="s">
        <v>110</v>
      </c>
      <c r="B16" s="127" t="s">
        <v>108</v>
      </c>
      <c r="C16" s="127" t="s">
        <v>668</v>
      </c>
      <c r="D16" s="127" t="s">
        <v>6</v>
      </c>
      <c r="E16" s="127" t="s">
        <v>222</v>
      </c>
      <c r="F16" s="128">
        <f t="shared" si="0"/>
        <v>3401.1759499999998</v>
      </c>
      <c r="G16" s="128">
        <f t="shared" si="0"/>
        <v>3257.7</v>
      </c>
      <c r="H16" s="128">
        <f t="shared" si="0"/>
        <v>3257.7</v>
      </c>
    </row>
    <row r="17" spans="1:9" s="130" customFormat="1" ht="16.5" customHeight="1" x14ac:dyDescent="0.2">
      <c r="A17" s="251" t="s">
        <v>227</v>
      </c>
      <c r="B17" s="8" t="s">
        <v>108</v>
      </c>
      <c r="C17" s="8" t="s">
        <v>668</v>
      </c>
      <c r="D17" s="8" t="s">
        <v>7</v>
      </c>
      <c r="E17" s="8" t="s">
        <v>222</v>
      </c>
      <c r="F17" s="129">
        <f>F18</f>
        <v>3401.1759499999998</v>
      </c>
      <c r="G17" s="129">
        <f t="shared" si="0"/>
        <v>3257.7</v>
      </c>
      <c r="H17" s="129">
        <f t="shared" si="0"/>
        <v>3257.7</v>
      </c>
    </row>
    <row r="18" spans="1:9" ht="95.25" customHeight="1" x14ac:dyDescent="0.2">
      <c r="A18" s="250" t="s">
        <v>670</v>
      </c>
      <c r="B18" s="127" t="s">
        <v>108</v>
      </c>
      <c r="C18" s="127" t="s">
        <v>668</v>
      </c>
      <c r="D18" s="127" t="s">
        <v>7</v>
      </c>
      <c r="E18" s="127" t="s">
        <v>671</v>
      </c>
      <c r="F18" s="128">
        <f>F19</f>
        <v>3401.1759499999998</v>
      </c>
      <c r="G18" s="128">
        <f t="shared" si="0"/>
        <v>3257.7</v>
      </c>
      <c r="H18" s="128">
        <f t="shared" si="0"/>
        <v>3257.7</v>
      </c>
    </row>
    <row r="19" spans="1:9" ht="33.75" customHeight="1" x14ac:dyDescent="0.2">
      <c r="A19" s="250" t="s">
        <v>672</v>
      </c>
      <c r="B19" s="127" t="s">
        <v>108</v>
      </c>
      <c r="C19" s="127" t="s">
        <v>668</v>
      </c>
      <c r="D19" s="127" t="s">
        <v>7</v>
      </c>
      <c r="E19" s="127" t="s">
        <v>673</v>
      </c>
      <c r="F19" s="357">
        <f>'5'!D263</f>
        <v>3401.1759499999998</v>
      </c>
      <c r="G19" s="357">
        <f>'5'!E263</f>
        <v>3257.7</v>
      </c>
      <c r="H19" s="357">
        <f>'5'!F263</f>
        <v>3257.7</v>
      </c>
      <c r="I19" s="112" t="s">
        <v>1136</v>
      </c>
    </row>
    <row r="20" spans="1:9" s="125" customFormat="1" ht="83.45" customHeight="1" x14ac:dyDescent="0.2">
      <c r="A20" s="249" t="s">
        <v>674</v>
      </c>
      <c r="B20" s="122" t="s">
        <v>108</v>
      </c>
      <c r="C20" s="122" t="s">
        <v>111</v>
      </c>
      <c r="D20" s="122" t="s">
        <v>666</v>
      </c>
      <c r="E20" s="122" t="s">
        <v>222</v>
      </c>
      <c r="F20" s="123">
        <f t="shared" ref="F20:H21" si="1">F21</f>
        <v>6809.4689999999991</v>
      </c>
      <c r="G20" s="123">
        <f t="shared" si="1"/>
        <v>6959.4689999999991</v>
      </c>
      <c r="H20" s="123">
        <f t="shared" si="1"/>
        <v>6959.4689999999991</v>
      </c>
    </row>
    <row r="21" spans="1:9" ht="33" customHeight="1" x14ac:dyDescent="0.2">
      <c r="A21" s="250" t="s">
        <v>669</v>
      </c>
      <c r="B21" s="127" t="s">
        <v>108</v>
      </c>
      <c r="C21" s="127" t="s">
        <v>111</v>
      </c>
      <c r="D21" s="127" t="s">
        <v>5</v>
      </c>
      <c r="E21" s="127" t="s">
        <v>222</v>
      </c>
      <c r="F21" s="128">
        <f t="shared" si="1"/>
        <v>6809.4689999999991</v>
      </c>
      <c r="G21" s="128">
        <f t="shared" si="1"/>
        <v>6959.4689999999991</v>
      </c>
      <c r="H21" s="128">
        <f t="shared" si="1"/>
        <v>6959.4689999999991</v>
      </c>
    </row>
    <row r="22" spans="1:9" ht="47.25" customHeight="1" x14ac:dyDescent="0.2">
      <c r="A22" s="250" t="s">
        <v>110</v>
      </c>
      <c r="B22" s="127" t="s">
        <v>108</v>
      </c>
      <c r="C22" s="127" t="s">
        <v>111</v>
      </c>
      <c r="D22" s="127" t="s">
        <v>6</v>
      </c>
      <c r="E22" s="127" t="s">
        <v>222</v>
      </c>
      <c r="F22" s="128">
        <f>F28+F23</f>
        <v>6809.4689999999991</v>
      </c>
      <c r="G22" s="128">
        <f>G28+G23</f>
        <v>6959.4689999999991</v>
      </c>
      <c r="H22" s="128">
        <f>H28+H23</f>
        <v>6959.4689999999991</v>
      </c>
    </row>
    <row r="23" spans="1:9" s="130" customFormat="1" ht="33.75" customHeight="1" x14ac:dyDescent="0.2">
      <c r="A23" s="251" t="s">
        <v>675</v>
      </c>
      <c r="B23" s="8" t="s">
        <v>108</v>
      </c>
      <c r="C23" s="8" t="s">
        <v>111</v>
      </c>
      <c r="D23" s="8" t="s">
        <v>8</v>
      </c>
      <c r="E23" s="8" t="s">
        <v>222</v>
      </c>
      <c r="F23" s="129">
        <f>F24+F26</f>
        <v>3058.43</v>
      </c>
      <c r="G23" s="129">
        <f>G24+G26</f>
        <v>3044.43</v>
      </c>
      <c r="H23" s="129">
        <f>H24+H26</f>
        <v>3044.43</v>
      </c>
    </row>
    <row r="24" spans="1:9" ht="98.25" customHeight="1" x14ac:dyDescent="0.2">
      <c r="A24" s="250" t="s">
        <v>670</v>
      </c>
      <c r="B24" s="127" t="s">
        <v>108</v>
      </c>
      <c r="C24" s="127" t="s">
        <v>111</v>
      </c>
      <c r="D24" s="127" t="s">
        <v>8</v>
      </c>
      <c r="E24" s="127" t="s">
        <v>671</v>
      </c>
      <c r="F24" s="128">
        <f>F25</f>
        <v>3058.43</v>
      </c>
      <c r="G24" s="128">
        <f>G25</f>
        <v>3029.43</v>
      </c>
      <c r="H24" s="128">
        <f>H25</f>
        <v>3029.43</v>
      </c>
    </row>
    <row r="25" spans="1:9" ht="35.25" customHeight="1" x14ac:dyDescent="0.2">
      <c r="A25" s="250" t="s">
        <v>672</v>
      </c>
      <c r="B25" s="127" t="s">
        <v>108</v>
      </c>
      <c r="C25" s="127" t="s">
        <v>111</v>
      </c>
      <c r="D25" s="127" t="s">
        <v>8</v>
      </c>
      <c r="E25" s="127" t="s">
        <v>673</v>
      </c>
      <c r="F25" s="357">
        <f>'5'!D264-F27</f>
        <v>3058.43</v>
      </c>
      <c r="G25" s="357">
        <f>'5'!E264-G27</f>
        <v>3029.43</v>
      </c>
      <c r="H25" s="357">
        <f>'5'!F264-H27</f>
        <v>3029.43</v>
      </c>
    </row>
    <row r="26" spans="1:9" ht="35.25" customHeight="1" x14ac:dyDescent="0.2">
      <c r="A26" s="250" t="s">
        <v>676</v>
      </c>
      <c r="B26" s="127" t="s">
        <v>108</v>
      </c>
      <c r="C26" s="127" t="s">
        <v>111</v>
      </c>
      <c r="D26" s="127" t="s">
        <v>8</v>
      </c>
      <c r="E26" s="127" t="s">
        <v>677</v>
      </c>
      <c r="F26" s="357">
        <f>F27</f>
        <v>0</v>
      </c>
      <c r="G26" s="128">
        <f>G27</f>
        <v>15</v>
      </c>
      <c r="H26" s="128">
        <f>H27</f>
        <v>15</v>
      </c>
    </row>
    <row r="27" spans="1:9" ht="48.6" customHeight="1" x14ac:dyDescent="0.2">
      <c r="A27" s="250" t="s">
        <v>678</v>
      </c>
      <c r="B27" s="127" t="s">
        <v>108</v>
      </c>
      <c r="C27" s="127" t="s">
        <v>111</v>
      </c>
      <c r="D27" s="127" t="s">
        <v>8</v>
      </c>
      <c r="E27" s="127" t="s">
        <v>679</v>
      </c>
      <c r="F27" s="357">
        <f>15-15</f>
        <v>0</v>
      </c>
      <c r="G27" s="128">
        <v>15</v>
      </c>
      <c r="H27" s="128">
        <v>15</v>
      </c>
    </row>
    <row r="28" spans="1:9" s="130" customFormat="1" ht="48.75" customHeight="1" x14ac:dyDescent="0.2">
      <c r="A28" s="251" t="s">
        <v>112</v>
      </c>
      <c r="B28" s="8" t="s">
        <v>108</v>
      </c>
      <c r="C28" s="8" t="s">
        <v>111</v>
      </c>
      <c r="D28" s="8" t="s">
        <v>9</v>
      </c>
      <c r="E28" s="8" t="s">
        <v>222</v>
      </c>
      <c r="F28" s="131">
        <f>F29+F31+F33</f>
        <v>3751.0389999999998</v>
      </c>
      <c r="G28" s="129">
        <f>G29+G31+G33</f>
        <v>3915.0389999999998</v>
      </c>
      <c r="H28" s="129">
        <f>H29+H31+H33</f>
        <v>3915.0389999999998</v>
      </c>
    </row>
    <row r="29" spans="1:9" ht="94.5" customHeight="1" x14ac:dyDescent="0.2">
      <c r="A29" s="250" t="s">
        <v>670</v>
      </c>
      <c r="B29" s="127" t="s">
        <v>108</v>
      </c>
      <c r="C29" s="127" t="s">
        <v>111</v>
      </c>
      <c r="D29" s="127" t="s">
        <v>9</v>
      </c>
      <c r="E29" s="127" t="s">
        <v>671</v>
      </c>
      <c r="F29" s="357">
        <f>F30</f>
        <v>2003</v>
      </c>
      <c r="G29" s="128">
        <f>G30</f>
        <v>3293</v>
      </c>
      <c r="H29" s="128">
        <f>H30</f>
        <v>3293</v>
      </c>
    </row>
    <row r="30" spans="1:9" ht="35.25" customHeight="1" x14ac:dyDescent="0.2">
      <c r="A30" s="250" t="s">
        <v>672</v>
      </c>
      <c r="B30" s="127" t="s">
        <v>108</v>
      </c>
      <c r="C30" s="127" t="s">
        <v>111</v>
      </c>
      <c r="D30" s="127" t="s">
        <v>9</v>
      </c>
      <c r="E30" s="127" t="s">
        <v>673</v>
      </c>
      <c r="F30" s="357">
        <f>2529.2+763.8-1130-51-111-48+50</f>
        <v>2003</v>
      </c>
      <c r="G30" s="357">
        <f t="shared" ref="G30:H30" si="2">2529.2+763.8</f>
        <v>3293</v>
      </c>
      <c r="H30" s="357">
        <f t="shared" si="2"/>
        <v>3293</v>
      </c>
    </row>
    <row r="31" spans="1:9" ht="33" customHeight="1" x14ac:dyDescent="0.2">
      <c r="A31" s="250" t="s">
        <v>676</v>
      </c>
      <c r="B31" s="127" t="s">
        <v>108</v>
      </c>
      <c r="C31" s="127" t="s">
        <v>111</v>
      </c>
      <c r="D31" s="127" t="s">
        <v>9</v>
      </c>
      <c r="E31" s="127" t="s">
        <v>677</v>
      </c>
      <c r="F31" s="357">
        <f>F32</f>
        <v>1742.039</v>
      </c>
      <c r="G31" s="128">
        <f>G32</f>
        <v>617.03899999999999</v>
      </c>
      <c r="H31" s="128">
        <f>H32</f>
        <v>617.03899999999999</v>
      </c>
    </row>
    <row r="32" spans="1:9" ht="50.25" customHeight="1" x14ac:dyDescent="0.2">
      <c r="A32" s="250" t="s">
        <v>678</v>
      </c>
      <c r="B32" s="127" t="s">
        <v>108</v>
      </c>
      <c r="C32" s="127" t="s">
        <v>111</v>
      </c>
      <c r="D32" s="127" t="s">
        <v>9</v>
      </c>
      <c r="E32" s="127" t="s">
        <v>679</v>
      </c>
      <c r="F32" s="357">
        <f>617.039+1130-5+50-50</f>
        <v>1742.039</v>
      </c>
      <c r="G32" s="357">
        <v>617.03899999999999</v>
      </c>
      <c r="H32" s="357">
        <v>617.03899999999999</v>
      </c>
    </row>
    <row r="33" spans="1:9" ht="19.5" customHeight="1" x14ac:dyDescent="0.2">
      <c r="A33" s="250" t="s">
        <v>680</v>
      </c>
      <c r="B33" s="127" t="s">
        <v>108</v>
      </c>
      <c r="C33" s="127" t="s">
        <v>111</v>
      </c>
      <c r="D33" s="127" t="s">
        <v>9</v>
      </c>
      <c r="E33" s="127" t="s">
        <v>681</v>
      </c>
      <c r="F33" s="357">
        <f>F34</f>
        <v>6</v>
      </c>
      <c r="G33" s="128">
        <f>G34</f>
        <v>5</v>
      </c>
      <c r="H33" s="128">
        <f>H34</f>
        <v>5</v>
      </c>
    </row>
    <row r="34" spans="1:9" ht="18.75" customHeight="1" x14ac:dyDescent="0.2">
      <c r="A34" s="250" t="s">
        <v>682</v>
      </c>
      <c r="B34" s="127" t="s">
        <v>108</v>
      </c>
      <c r="C34" s="127" t="s">
        <v>111</v>
      </c>
      <c r="D34" s="127" t="s">
        <v>9</v>
      </c>
      <c r="E34" s="127" t="s">
        <v>683</v>
      </c>
      <c r="F34" s="357">
        <f>1+5</f>
        <v>6</v>
      </c>
      <c r="G34" s="128">
        <v>5</v>
      </c>
      <c r="H34" s="128">
        <v>5</v>
      </c>
    </row>
    <row r="35" spans="1:9" s="125" customFormat="1" ht="82.5" customHeight="1" x14ac:dyDescent="0.2">
      <c r="A35" s="249" t="s">
        <v>684</v>
      </c>
      <c r="B35" s="122" t="s">
        <v>108</v>
      </c>
      <c r="C35" s="122" t="s">
        <v>113</v>
      </c>
      <c r="D35" s="122" t="s">
        <v>666</v>
      </c>
      <c r="E35" s="122" t="s">
        <v>222</v>
      </c>
      <c r="F35" s="123">
        <f t="shared" ref="F35:H37" si="3">F36</f>
        <v>45253.054659999994</v>
      </c>
      <c r="G35" s="123">
        <f t="shared" si="3"/>
        <v>42495.899999999994</v>
      </c>
      <c r="H35" s="123">
        <f t="shared" si="3"/>
        <v>42495.899999999994</v>
      </c>
    </row>
    <row r="36" spans="1:9" ht="33.75" customHeight="1" x14ac:dyDescent="0.2">
      <c r="A36" s="250" t="s">
        <v>669</v>
      </c>
      <c r="B36" s="127" t="s">
        <v>108</v>
      </c>
      <c r="C36" s="127" t="s">
        <v>113</v>
      </c>
      <c r="D36" s="127" t="s">
        <v>5</v>
      </c>
      <c r="E36" s="127" t="s">
        <v>222</v>
      </c>
      <c r="F36" s="128">
        <f t="shared" si="3"/>
        <v>45253.054659999994</v>
      </c>
      <c r="G36" s="128">
        <f t="shared" si="3"/>
        <v>42495.899999999994</v>
      </c>
      <c r="H36" s="128">
        <f t="shared" si="3"/>
        <v>42495.899999999994</v>
      </c>
    </row>
    <row r="37" spans="1:9" ht="47.25" customHeight="1" x14ac:dyDescent="0.2">
      <c r="A37" s="250" t="s">
        <v>110</v>
      </c>
      <c r="B37" s="127" t="s">
        <v>108</v>
      </c>
      <c r="C37" s="127" t="s">
        <v>113</v>
      </c>
      <c r="D37" s="127" t="s">
        <v>6</v>
      </c>
      <c r="E37" s="127" t="s">
        <v>222</v>
      </c>
      <c r="F37" s="128">
        <f t="shared" si="3"/>
        <v>45253.054659999994</v>
      </c>
      <c r="G37" s="128">
        <f t="shared" si="3"/>
        <v>42495.899999999994</v>
      </c>
      <c r="H37" s="128">
        <f t="shared" si="3"/>
        <v>42495.899999999994</v>
      </c>
    </row>
    <row r="38" spans="1:9" s="130" customFormat="1" ht="48.75" customHeight="1" x14ac:dyDescent="0.2">
      <c r="A38" s="251" t="s">
        <v>112</v>
      </c>
      <c r="B38" s="8" t="s">
        <v>108</v>
      </c>
      <c r="C38" s="8" t="s">
        <v>113</v>
      </c>
      <c r="D38" s="8" t="s">
        <v>9</v>
      </c>
      <c r="E38" s="8" t="s">
        <v>222</v>
      </c>
      <c r="F38" s="129">
        <f>F39+F41+F45+F43</f>
        <v>45253.054659999994</v>
      </c>
      <c r="G38" s="129">
        <f>G39+G41+G45</f>
        <v>42495.899999999994</v>
      </c>
      <c r="H38" s="129">
        <f>H39+H41+H45</f>
        <v>42495.899999999994</v>
      </c>
    </row>
    <row r="39" spans="1:9" ht="96" customHeight="1" x14ac:dyDescent="0.2">
      <c r="A39" s="250" t="s">
        <v>670</v>
      </c>
      <c r="B39" s="127" t="s">
        <v>108</v>
      </c>
      <c r="C39" s="127" t="s">
        <v>113</v>
      </c>
      <c r="D39" s="127" t="s">
        <v>9</v>
      </c>
      <c r="E39" s="127" t="s">
        <v>671</v>
      </c>
      <c r="F39" s="357">
        <f>F40</f>
        <v>34636.947329999995</v>
      </c>
      <c r="G39" s="128">
        <f>G40</f>
        <v>35507.799999999996</v>
      </c>
      <c r="H39" s="128">
        <f>H40</f>
        <v>35507.799999999996</v>
      </c>
    </row>
    <row r="40" spans="1:9" ht="39" customHeight="1" x14ac:dyDescent="0.2">
      <c r="A40" s="250" t="s">
        <v>672</v>
      </c>
      <c r="B40" s="127" t="s">
        <v>108</v>
      </c>
      <c r="C40" s="127" t="s">
        <v>113</v>
      </c>
      <c r="D40" s="133" t="s">
        <v>9</v>
      </c>
      <c r="E40" s="133" t="s">
        <v>673</v>
      </c>
      <c r="F40" s="357">
        <f>27042.1+299+8166.7-627.533+1159.09866-400-2.41833-1000</f>
        <v>34636.947329999995</v>
      </c>
      <c r="G40" s="357">
        <f t="shared" ref="G40:H40" si="4">27042.1+299+8166.7</f>
        <v>35507.799999999996</v>
      </c>
      <c r="H40" s="357">
        <f t="shared" si="4"/>
        <v>35507.799999999996</v>
      </c>
      <c r="I40" s="112" t="s">
        <v>1136</v>
      </c>
    </row>
    <row r="41" spans="1:9" ht="33" customHeight="1" x14ac:dyDescent="0.2">
      <c r="A41" s="250" t="s">
        <v>676</v>
      </c>
      <c r="B41" s="127" t="s">
        <v>108</v>
      </c>
      <c r="C41" s="127" t="s">
        <v>113</v>
      </c>
      <c r="D41" s="133" t="s">
        <v>9</v>
      </c>
      <c r="E41" s="133" t="s">
        <v>677</v>
      </c>
      <c r="F41" s="357">
        <f>F42</f>
        <v>9950.5889999999999</v>
      </c>
      <c r="G41" s="357">
        <f>G42</f>
        <v>6483</v>
      </c>
      <c r="H41" s="357">
        <f>H42</f>
        <v>6483</v>
      </c>
    </row>
    <row r="42" spans="1:9" ht="49.5" customHeight="1" x14ac:dyDescent="0.2">
      <c r="A42" s="250" t="s">
        <v>678</v>
      </c>
      <c r="B42" s="127" t="s">
        <v>108</v>
      </c>
      <c r="C42" s="127" t="s">
        <v>113</v>
      </c>
      <c r="D42" s="133" t="s">
        <v>9</v>
      </c>
      <c r="E42" s="133" t="s">
        <v>679</v>
      </c>
      <c r="F42" s="357">
        <f>6483+273+145.989+1580.6+36.5+31.5+400+1000</f>
        <v>9950.5889999999999</v>
      </c>
      <c r="G42" s="357">
        <v>6483</v>
      </c>
      <c r="H42" s="357">
        <v>6483</v>
      </c>
    </row>
    <row r="43" spans="1:9" ht="35.25" customHeight="1" x14ac:dyDescent="0.2">
      <c r="A43" s="255" t="s">
        <v>832</v>
      </c>
      <c r="B43" s="127" t="s">
        <v>108</v>
      </c>
      <c r="C43" s="127" t="s">
        <v>113</v>
      </c>
      <c r="D43" s="133" t="s">
        <v>9</v>
      </c>
      <c r="E43" s="133" t="s">
        <v>833</v>
      </c>
      <c r="F43" s="357">
        <f>F44</f>
        <v>2.4183300000000001</v>
      </c>
      <c r="G43" s="357">
        <f>G44</f>
        <v>0</v>
      </c>
      <c r="H43" s="357">
        <f>H44</f>
        <v>0</v>
      </c>
    </row>
    <row r="44" spans="1:9" ht="35.25" customHeight="1" x14ac:dyDescent="0.2">
      <c r="A44" s="255" t="s">
        <v>122</v>
      </c>
      <c r="B44" s="127" t="s">
        <v>108</v>
      </c>
      <c r="C44" s="127" t="s">
        <v>113</v>
      </c>
      <c r="D44" s="133" t="s">
        <v>9</v>
      </c>
      <c r="E44" s="133" t="s">
        <v>878</v>
      </c>
      <c r="F44" s="357">
        <v>2.4183300000000001</v>
      </c>
      <c r="G44" s="357">
        <v>0</v>
      </c>
      <c r="H44" s="357">
        <v>0</v>
      </c>
    </row>
    <row r="45" spans="1:9" ht="18" customHeight="1" x14ac:dyDescent="0.2">
      <c r="A45" s="250" t="s">
        <v>680</v>
      </c>
      <c r="B45" s="127" t="s">
        <v>108</v>
      </c>
      <c r="C45" s="127" t="s">
        <v>113</v>
      </c>
      <c r="D45" s="127" t="s">
        <v>9</v>
      </c>
      <c r="E45" s="127" t="s">
        <v>681</v>
      </c>
      <c r="F45" s="128">
        <f>F46</f>
        <v>663.1</v>
      </c>
      <c r="G45" s="128">
        <f>G46</f>
        <v>505.1</v>
      </c>
      <c r="H45" s="128">
        <f>H46</f>
        <v>505.1</v>
      </c>
    </row>
    <row r="46" spans="1:9" ht="17.25" customHeight="1" x14ac:dyDescent="0.2">
      <c r="A46" s="250" t="s">
        <v>682</v>
      </c>
      <c r="B46" s="127" t="s">
        <v>108</v>
      </c>
      <c r="C46" s="127" t="s">
        <v>113</v>
      </c>
      <c r="D46" s="127" t="s">
        <v>9</v>
      </c>
      <c r="E46" s="127" t="s">
        <v>683</v>
      </c>
      <c r="F46" s="128">
        <f>505.1+158</f>
        <v>663.1</v>
      </c>
      <c r="G46" s="128">
        <v>505.1</v>
      </c>
      <c r="H46" s="128">
        <v>505.1</v>
      </c>
    </row>
    <row r="47" spans="1:9" s="125" customFormat="1" ht="49.5" customHeight="1" x14ac:dyDescent="0.2">
      <c r="A47" s="249" t="s">
        <v>394</v>
      </c>
      <c r="B47" s="122" t="s">
        <v>108</v>
      </c>
      <c r="C47" s="122" t="s">
        <v>685</v>
      </c>
      <c r="D47" s="122" t="s">
        <v>248</v>
      </c>
      <c r="E47" s="122" t="s">
        <v>222</v>
      </c>
      <c r="F47" s="123">
        <f t="shared" ref="F47:H48" si="5">F48</f>
        <v>11.829000000000001</v>
      </c>
      <c r="G47" s="123">
        <f t="shared" si="5"/>
        <v>12.269</v>
      </c>
      <c r="H47" s="123">
        <f t="shared" si="5"/>
        <v>151.56200000000001</v>
      </c>
    </row>
    <row r="48" spans="1:9" ht="33.75" customHeight="1" x14ac:dyDescent="0.2">
      <c r="A48" s="250" t="s">
        <v>676</v>
      </c>
      <c r="B48" s="127" t="s">
        <v>108</v>
      </c>
      <c r="C48" s="127" t="s">
        <v>685</v>
      </c>
      <c r="D48" s="127" t="s">
        <v>248</v>
      </c>
      <c r="E48" s="127" t="s">
        <v>677</v>
      </c>
      <c r="F48" s="128">
        <f t="shared" si="5"/>
        <v>11.829000000000001</v>
      </c>
      <c r="G48" s="128">
        <f t="shared" si="5"/>
        <v>12.269</v>
      </c>
      <c r="H48" s="128">
        <f t="shared" si="5"/>
        <v>151.56200000000001</v>
      </c>
    </row>
    <row r="49" spans="1:10" ht="52.5" customHeight="1" x14ac:dyDescent="0.2">
      <c r="A49" s="250" t="s">
        <v>678</v>
      </c>
      <c r="B49" s="127" t="s">
        <v>108</v>
      </c>
      <c r="C49" s="127" t="s">
        <v>685</v>
      </c>
      <c r="D49" s="127" t="s">
        <v>248</v>
      </c>
      <c r="E49" s="127" t="s">
        <v>679</v>
      </c>
      <c r="F49" s="14">
        <f>'5'!D317</f>
        <v>11.829000000000001</v>
      </c>
      <c r="G49" s="14">
        <f>'5'!E317</f>
        <v>12.269</v>
      </c>
      <c r="H49" s="14">
        <f>'5'!F317</f>
        <v>151.56200000000001</v>
      </c>
    </row>
    <row r="50" spans="1:10" s="125" customFormat="1" ht="63" customHeight="1" x14ac:dyDescent="0.2">
      <c r="A50" s="249" t="s">
        <v>686</v>
      </c>
      <c r="B50" s="122" t="s">
        <v>108</v>
      </c>
      <c r="C50" s="122" t="s">
        <v>687</v>
      </c>
      <c r="D50" s="122" t="s">
        <v>666</v>
      </c>
      <c r="E50" s="122" t="s">
        <v>222</v>
      </c>
      <c r="F50" s="123">
        <f t="shared" ref="F50:H51" si="6">F51</f>
        <v>13459.705100000001</v>
      </c>
      <c r="G50" s="123">
        <f t="shared" si="6"/>
        <v>13592.835000000001</v>
      </c>
      <c r="H50" s="123">
        <f t="shared" si="6"/>
        <v>13592.835000000001</v>
      </c>
    </row>
    <row r="51" spans="1:10" ht="33.75" customHeight="1" x14ac:dyDescent="0.2">
      <c r="A51" s="250" t="s">
        <v>206</v>
      </c>
      <c r="B51" s="127" t="s">
        <v>108</v>
      </c>
      <c r="C51" s="127" t="s">
        <v>687</v>
      </c>
      <c r="D51" s="127" t="s">
        <v>5</v>
      </c>
      <c r="E51" s="127" t="s">
        <v>222</v>
      </c>
      <c r="F51" s="128">
        <f t="shared" si="6"/>
        <v>13459.705100000001</v>
      </c>
      <c r="G51" s="128">
        <f t="shared" si="6"/>
        <v>13592.835000000001</v>
      </c>
      <c r="H51" s="128">
        <f t="shared" si="6"/>
        <v>13592.835000000001</v>
      </c>
    </row>
    <row r="52" spans="1:10" ht="47.25" customHeight="1" x14ac:dyDescent="0.2">
      <c r="A52" s="250" t="s">
        <v>110</v>
      </c>
      <c r="B52" s="127" t="s">
        <v>108</v>
      </c>
      <c r="C52" s="127" t="s">
        <v>687</v>
      </c>
      <c r="D52" s="127" t="s">
        <v>6</v>
      </c>
      <c r="E52" s="127" t="s">
        <v>222</v>
      </c>
      <c r="F52" s="128">
        <f>F53+F62+F69</f>
        <v>13459.705100000001</v>
      </c>
      <c r="G52" s="128">
        <f>G53+G62+G69</f>
        <v>13592.835000000001</v>
      </c>
      <c r="H52" s="128">
        <f>H53+H62+H69</f>
        <v>13592.835000000001</v>
      </c>
    </row>
    <row r="53" spans="1:10" s="130" customFormat="1" ht="48.75" customHeight="1" x14ac:dyDescent="0.2">
      <c r="A53" s="251" t="s">
        <v>688</v>
      </c>
      <c r="B53" s="8" t="s">
        <v>108</v>
      </c>
      <c r="C53" s="8" t="s">
        <v>687</v>
      </c>
      <c r="D53" s="8" t="s">
        <v>9</v>
      </c>
      <c r="E53" s="8" t="s">
        <v>222</v>
      </c>
      <c r="F53" s="129">
        <f>F54+F56+F60+F58</f>
        <v>10210.570100000001</v>
      </c>
      <c r="G53" s="129">
        <f>G54+G56+G60</f>
        <v>10645.2</v>
      </c>
      <c r="H53" s="129">
        <f>H54+H56+H60</f>
        <v>10645.2</v>
      </c>
    </row>
    <row r="54" spans="1:10" ht="95.25" customHeight="1" x14ac:dyDescent="0.2">
      <c r="A54" s="250" t="s">
        <v>670</v>
      </c>
      <c r="B54" s="127" t="s">
        <v>108</v>
      </c>
      <c r="C54" s="127" t="s">
        <v>687</v>
      </c>
      <c r="D54" s="127" t="s">
        <v>9</v>
      </c>
      <c r="E54" s="127" t="s">
        <v>671</v>
      </c>
      <c r="F54" s="128">
        <f>F55</f>
        <v>8906.3423500000008</v>
      </c>
      <c r="G54" s="128">
        <f>G55</f>
        <v>9647.3000000000011</v>
      </c>
      <c r="H54" s="128">
        <f>H55</f>
        <v>9647.3000000000011</v>
      </c>
    </row>
    <row r="55" spans="1:10" ht="33" customHeight="1" x14ac:dyDescent="0.2">
      <c r="A55" s="250" t="s">
        <v>672</v>
      </c>
      <c r="B55" s="127" t="s">
        <v>108</v>
      </c>
      <c r="C55" s="127" t="s">
        <v>687</v>
      </c>
      <c r="D55" s="127" t="s">
        <v>9</v>
      </c>
      <c r="E55" s="127" t="s">
        <v>673</v>
      </c>
      <c r="F55" s="357">
        <f>7398.8+14.1+2234.4-2.57775+188.7201+7-934.1</f>
        <v>8906.3423500000008</v>
      </c>
      <c r="G55" s="357">
        <f t="shared" ref="G55:H55" si="7">7398.8+14.1+2234.4</f>
        <v>9647.3000000000011</v>
      </c>
      <c r="H55" s="357">
        <f t="shared" si="7"/>
        <v>9647.3000000000011</v>
      </c>
      <c r="I55" s="112" t="s">
        <v>1136</v>
      </c>
    </row>
    <row r="56" spans="1:10" ht="33" customHeight="1" x14ac:dyDescent="0.2">
      <c r="A56" s="250" t="s">
        <v>676</v>
      </c>
      <c r="B56" s="127" t="s">
        <v>108</v>
      </c>
      <c r="C56" s="127" t="s">
        <v>687</v>
      </c>
      <c r="D56" s="127" t="s">
        <v>9</v>
      </c>
      <c r="E56" s="127" t="s">
        <v>677</v>
      </c>
      <c r="F56" s="357">
        <f>F57</f>
        <v>1297.25</v>
      </c>
      <c r="G56" s="128">
        <f>G57</f>
        <v>995.9</v>
      </c>
      <c r="H56" s="128">
        <f>H57</f>
        <v>995.9</v>
      </c>
    </row>
    <row r="57" spans="1:10" ht="48" customHeight="1" x14ac:dyDescent="0.2">
      <c r="A57" s="250" t="s">
        <v>678</v>
      </c>
      <c r="B57" s="127" t="s">
        <v>108</v>
      </c>
      <c r="C57" s="127" t="s">
        <v>687</v>
      </c>
      <c r="D57" s="127" t="s">
        <v>9</v>
      </c>
      <c r="E57" s="127" t="s">
        <v>679</v>
      </c>
      <c r="F57" s="357">
        <f>995.9-2.4+200.45-7-27.13132+41.33132+96.1</f>
        <v>1297.25</v>
      </c>
      <c r="G57" s="128">
        <v>995.9</v>
      </c>
      <c r="H57" s="128">
        <v>995.9</v>
      </c>
      <c r="I57" s="350"/>
      <c r="J57" s="350"/>
    </row>
    <row r="58" spans="1:10" ht="34.5" customHeight="1" x14ac:dyDescent="0.2">
      <c r="A58" s="255" t="s">
        <v>832</v>
      </c>
      <c r="B58" s="4" t="s">
        <v>108</v>
      </c>
      <c r="C58" s="127" t="s">
        <v>687</v>
      </c>
      <c r="D58" s="4" t="s">
        <v>9</v>
      </c>
      <c r="E58" s="4" t="s">
        <v>833</v>
      </c>
      <c r="F58" s="11">
        <f>F59</f>
        <v>2.57775</v>
      </c>
      <c r="G58" s="11">
        <f>G59</f>
        <v>0</v>
      </c>
      <c r="H58" s="11">
        <f>H59</f>
        <v>0</v>
      </c>
      <c r="I58" s="350"/>
      <c r="J58" s="350"/>
    </row>
    <row r="59" spans="1:10" ht="33.75" customHeight="1" x14ac:dyDescent="0.2">
      <c r="A59" s="255" t="s">
        <v>122</v>
      </c>
      <c r="B59" s="6" t="s">
        <v>108</v>
      </c>
      <c r="C59" s="6" t="s">
        <v>687</v>
      </c>
      <c r="D59" s="6" t="s">
        <v>9</v>
      </c>
      <c r="E59" s="4" t="s">
        <v>878</v>
      </c>
      <c r="F59" s="11">
        <v>2.57775</v>
      </c>
      <c r="G59" s="11">
        <v>0</v>
      </c>
      <c r="H59" s="11">
        <v>0</v>
      </c>
      <c r="I59" s="350"/>
      <c r="J59" s="350"/>
    </row>
    <row r="60" spans="1:10" ht="17.25" customHeight="1" x14ac:dyDescent="0.2">
      <c r="A60" s="250" t="s">
        <v>680</v>
      </c>
      <c r="B60" s="127" t="s">
        <v>108</v>
      </c>
      <c r="C60" s="127" t="s">
        <v>687</v>
      </c>
      <c r="D60" s="127" t="s">
        <v>9</v>
      </c>
      <c r="E60" s="127" t="s">
        <v>681</v>
      </c>
      <c r="F60" s="357">
        <f>F61</f>
        <v>4.4000000000000004</v>
      </c>
      <c r="G60" s="128">
        <f>G61</f>
        <v>2</v>
      </c>
      <c r="H60" s="128">
        <f>H61</f>
        <v>2</v>
      </c>
      <c r="I60" s="350"/>
      <c r="J60" s="350"/>
    </row>
    <row r="61" spans="1:10" ht="17.25" customHeight="1" x14ac:dyDescent="0.2">
      <c r="A61" s="250" t="s">
        <v>682</v>
      </c>
      <c r="B61" s="127" t="s">
        <v>108</v>
      </c>
      <c r="C61" s="127" t="s">
        <v>687</v>
      </c>
      <c r="D61" s="127" t="s">
        <v>9</v>
      </c>
      <c r="E61" s="127" t="s">
        <v>683</v>
      </c>
      <c r="F61" s="357">
        <f>2+2.4</f>
        <v>4.4000000000000004</v>
      </c>
      <c r="G61" s="128">
        <v>2</v>
      </c>
      <c r="H61" s="128">
        <v>2</v>
      </c>
      <c r="I61" s="350"/>
      <c r="J61" s="350"/>
    </row>
    <row r="62" spans="1:10" s="130" customFormat="1" ht="48" customHeight="1" x14ac:dyDescent="0.2">
      <c r="A62" s="251" t="s">
        <v>689</v>
      </c>
      <c r="B62" s="8" t="s">
        <v>108</v>
      </c>
      <c r="C62" s="8" t="s">
        <v>687</v>
      </c>
      <c r="D62" s="8" t="s">
        <v>9</v>
      </c>
      <c r="E62" s="8" t="s">
        <v>222</v>
      </c>
      <c r="F62" s="131">
        <f>F65+F67+F63</f>
        <v>344</v>
      </c>
      <c r="G62" s="129">
        <f>G65+G67+G63</f>
        <v>344</v>
      </c>
      <c r="H62" s="129">
        <f>H65+H67+H63</f>
        <v>344</v>
      </c>
      <c r="I62" s="351"/>
      <c r="J62" s="351"/>
    </row>
    <row r="63" spans="1:10" s="130" customFormat="1" ht="100.9" hidden="1" customHeight="1" x14ac:dyDescent="0.2">
      <c r="A63" s="250" t="s">
        <v>670</v>
      </c>
      <c r="B63" s="127" t="s">
        <v>108</v>
      </c>
      <c r="C63" s="127" t="s">
        <v>687</v>
      </c>
      <c r="D63" s="8" t="s">
        <v>9</v>
      </c>
      <c r="E63" s="127" t="s">
        <v>671</v>
      </c>
      <c r="F63" s="128">
        <f>F64</f>
        <v>0</v>
      </c>
      <c r="G63" s="128">
        <f>G64</f>
        <v>0</v>
      </c>
      <c r="H63" s="128">
        <f>H64</f>
        <v>0</v>
      </c>
      <c r="I63" s="351"/>
      <c r="J63" s="351"/>
    </row>
    <row r="64" spans="1:10" s="130" customFormat="1" ht="48" hidden="1" customHeight="1" x14ac:dyDescent="0.2">
      <c r="A64" s="250" t="s">
        <v>672</v>
      </c>
      <c r="B64" s="127" t="s">
        <v>108</v>
      </c>
      <c r="C64" s="127" t="s">
        <v>687</v>
      </c>
      <c r="D64" s="8" t="s">
        <v>9</v>
      </c>
      <c r="E64" s="127" t="s">
        <v>673</v>
      </c>
      <c r="F64" s="357"/>
      <c r="G64" s="357"/>
      <c r="H64" s="357"/>
      <c r="I64" s="351"/>
      <c r="J64" s="351"/>
    </row>
    <row r="65" spans="1:10" ht="34.5" customHeight="1" x14ac:dyDescent="0.2">
      <c r="A65" s="250" t="s">
        <v>676</v>
      </c>
      <c r="B65" s="127" t="s">
        <v>108</v>
      </c>
      <c r="C65" s="127" t="s">
        <v>687</v>
      </c>
      <c r="D65" s="127" t="s">
        <v>9</v>
      </c>
      <c r="E65" s="127" t="s">
        <v>677</v>
      </c>
      <c r="F65" s="357">
        <f>F66</f>
        <v>342</v>
      </c>
      <c r="G65" s="128">
        <f>G66</f>
        <v>342</v>
      </c>
      <c r="H65" s="128">
        <f>H66</f>
        <v>342</v>
      </c>
      <c r="I65" s="350"/>
      <c r="J65" s="350"/>
    </row>
    <row r="66" spans="1:10" ht="45.75" customHeight="1" x14ac:dyDescent="0.2">
      <c r="A66" s="250" t="s">
        <v>678</v>
      </c>
      <c r="B66" s="127" t="s">
        <v>108</v>
      </c>
      <c r="C66" s="127" t="s">
        <v>687</v>
      </c>
      <c r="D66" s="127" t="s">
        <v>9</v>
      </c>
      <c r="E66" s="127" t="s">
        <v>679</v>
      </c>
      <c r="F66" s="357">
        <v>342</v>
      </c>
      <c r="G66" s="357">
        <v>342</v>
      </c>
      <c r="H66" s="357">
        <v>342</v>
      </c>
      <c r="I66" s="350"/>
      <c r="J66" s="350"/>
    </row>
    <row r="67" spans="1:10" ht="16.5" customHeight="1" x14ac:dyDescent="0.2">
      <c r="A67" s="250" t="s">
        <v>680</v>
      </c>
      <c r="B67" s="127" t="s">
        <v>108</v>
      </c>
      <c r="C67" s="127" t="s">
        <v>687</v>
      </c>
      <c r="D67" s="127" t="s">
        <v>9</v>
      </c>
      <c r="E67" s="127" t="s">
        <v>681</v>
      </c>
      <c r="F67" s="357">
        <f>F68</f>
        <v>2</v>
      </c>
      <c r="G67" s="128">
        <f>G68</f>
        <v>2</v>
      </c>
      <c r="H67" s="128">
        <f>H68</f>
        <v>2</v>
      </c>
    </row>
    <row r="68" spans="1:10" ht="17.25" customHeight="1" x14ac:dyDescent="0.2">
      <c r="A68" s="250" t="s">
        <v>682</v>
      </c>
      <c r="B68" s="127" t="s">
        <v>108</v>
      </c>
      <c r="C68" s="127" t="s">
        <v>687</v>
      </c>
      <c r="D68" s="127" t="s">
        <v>9</v>
      </c>
      <c r="E68" s="127" t="s">
        <v>683</v>
      </c>
      <c r="F68" s="357">
        <v>2</v>
      </c>
      <c r="G68" s="128">
        <v>2</v>
      </c>
      <c r="H68" s="128">
        <v>2</v>
      </c>
    </row>
    <row r="69" spans="1:10" s="130" customFormat="1" ht="33" customHeight="1" x14ac:dyDescent="0.2">
      <c r="A69" s="251" t="s">
        <v>690</v>
      </c>
      <c r="B69" s="8" t="s">
        <v>108</v>
      </c>
      <c r="C69" s="8" t="s">
        <v>687</v>
      </c>
      <c r="D69" s="8" t="s">
        <v>10</v>
      </c>
      <c r="E69" s="8" t="s">
        <v>222</v>
      </c>
      <c r="F69" s="131">
        <f>F71</f>
        <v>2905.1350000000002</v>
      </c>
      <c r="G69" s="129">
        <f>G71</f>
        <v>2603.6350000000002</v>
      </c>
      <c r="H69" s="129">
        <f>H71</f>
        <v>2603.6350000000002</v>
      </c>
    </row>
    <row r="70" spans="1:10" ht="94.5" customHeight="1" x14ac:dyDescent="0.2">
      <c r="A70" s="250" t="s">
        <v>670</v>
      </c>
      <c r="B70" s="127" t="s">
        <v>108</v>
      </c>
      <c r="C70" s="127" t="s">
        <v>687</v>
      </c>
      <c r="D70" s="127" t="s">
        <v>10</v>
      </c>
      <c r="E70" s="127" t="s">
        <v>671</v>
      </c>
      <c r="F70" s="357">
        <f>F71</f>
        <v>2905.1350000000002</v>
      </c>
      <c r="G70" s="128">
        <f>G71</f>
        <v>2603.6350000000002</v>
      </c>
      <c r="H70" s="128">
        <f>H71</f>
        <v>2603.6350000000002</v>
      </c>
    </row>
    <row r="71" spans="1:10" ht="34.5" customHeight="1" x14ac:dyDescent="0.2">
      <c r="A71" s="250" t="s">
        <v>672</v>
      </c>
      <c r="B71" s="127" t="s">
        <v>108</v>
      </c>
      <c r="C71" s="127" t="s">
        <v>687</v>
      </c>
      <c r="D71" s="127" t="s">
        <v>10</v>
      </c>
      <c r="E71" s="127" t="s">
        <v>673</v>
      </c>
      <c r="F71" s="357">
        <f>'5'!D267</f>
        <v>2905.1350000000002</v>
      </c>
      <c r="G71" s="357">
        <f>'5'!E267</f>
        <v>2603.6350000000002</v>
      </c>
      <c r="H71" s="357">
        <f>'5'!F267</f>
        <v>2603.6350000000002</v>
      </c>
    </row>
    <row r="72" spans="1:10" ht="18.75" hidden="1" customHeight="1" x14ac:dyDescent="0.2">
      <c r="A72" s="126" t="s">
        <v>691</v>
      </c>
      <c r="B72" s="127" t="s">
        <v>108</v>
      </c>
      <c r="C72" s="127" t="s">
        <v>692</v>
      </c>
      <c r="D72" s="127" t="s">
        <v>693</v>
      </c>
      <c r="E72" s="127" t="s">
        <v>222</v>
      </c>
      <c r="F72" s="128">
        <f>F73</f>
        <v>0</v>
      </c>
      <c r="G72" s="128">
        <f>G73</f>
        <v>0</v>
      </c>
      <c r="H72" s="128">
        <f>H73</f>
        <v>0</v>
      </c>
    </row>
    <row r="73" spans="1:10" ht="33" hidden="1" customHeight="1" x14ac:dyDescent="0.2">
      <c r="A73" s="126" t="s">
        <v>694</v>
      </c>
      <c r="B73" s="127" t="s">
        <v>108</v>
      </c>
      <c r="C73" s="127" t="s">
        <v>692</v>
      </c>
      <c r="D73" s="127" t="s">
        <v>695</v>
      </c>
      <c r="E73" s="127" t="s">
        <v>222</v>
      </c>
      <c r="F73" s="128">
        <f>F75</f>
        <v>0</v>
      </c>
      <c r="G73" s="128">
        <f>G75</f>
        <v>0</v>
      </c>
      <c r="H73" s="128">
        <f>H75</f>
        <v>0</v>
      </c>
    </row>
    <row r="74" spans="1:10" ht="16.5" hidden="1" customHeight="1" x14ac:dyDescent="0.2">
      <c r="A74" s="126" t="s">
        <v>680</v>
      </c>
      <c r="B74" s="127" t="s">
        <v>108</v>
      </c>
      <c r="C74" s="127" t="s">
        <v>692</v>
      </c>
      <c r="D74" s="127" t="s">
        <v>695</v>
      </c>
      <c r="E74" s="127" t="s">
        <v>681</v>
      </c>
      <c r="F74" s="128">
        <f>F75</f>
        <v>0</v>
      </c>
      <c r="G74" s="128">
        <f>G75</f>
        <v>0</v>
      </c>
      <c r="H74" s="128">
        <f>H75</f>
        <v>0</v>
      </c>
    </row>
    <row r="75" spans="1:10" ht="18.75" hidden="1" customHeight="1" x14ac:dyDescent="0.2">
      <c r="A75" s="126" t="s">
        <v>696</v>
      </c>
      <c r="B75" s="127" t="s">
        <v>108</v>
      </c>
      <c r="C75" s="127" t="s">
        <v>692</v>
      </c>
      <c r="D75" s="127" t="s">
        <v>695</v>
      </c>
      <c r="E75" s="127" t="s">
        <v>697</v>
      </c>
      <c r="F75" s="128"/>
      <c r="G75" s="128"/>
      <c r="H75" s="128"/>
    </row>
    <row r="76" spans="1:10" ht="39" hidden="1" customHeight="1" x14ac:dyDescent="0.2">
      <c r="A76" s="134" t="s">
        <v>698</v>
      </c>
      <c r="B76" s="135" t="s">
        <v>108</v>
      </c>
      <c r="C76" s="135" t="s">
        <v>211</v>
      </c>
      <c r="D76" s="135" t="s">
        <v>666</v>
      </c>
      <c r="E76" s="135" t="s">
        <v>222</v>
      </c>
      <c r="F76" s="136">
        <f t="shared" ref="F76:H80" si="8">F77</f>
        <v>0</v>
      </c>
      <c r="G76" s="136">
        <f t="shared" si="8"/>
        <v>0</v>
      </c>
      <c r="H76" s="136">
        <f t="shared" si="8"/>
        <v>0</v>
      </c>
    </row>
    <row r="77" spans="1:10" ht="39" hidden="1" customHeight="1" x14ac:dyDescent="0.2">
      <c r="A77" s="126" t="s">
        <v>699</v>
      </c>
      <c r="B77" s="127" t="s">
        <v>108</v>
      </c>
      <c r="C77" s="127" t="s">
        <v>211</v>
      </c>
      <c r="D77" s="127" t="s">
        <v>5</v>
      </c>
      <c r="E77" s="127" t="s">
        <v>222</v>
      </c>
      <c r="F77" s="128">
        <f t="shared" si="8"/>
        <v>0</v>
      </c>
      <c r="G77" s="128">
        <f t="shared" si="8"/>
        <v>0</v>
      </c>
      <c r="H77" s="128">
        <f t="shared" si="8"/>
        <v>0</v>
      </c>
    </row>
    <row r="78" spans="1:10" ht="39" hidden="1" customHeight="1" x14ac:dyDescent="0.2">
      <c r="A78" s="126" t="s">
        <v>110</v>
      </c>
      <c r="B78" s="127" t="s">
        <v>108</v>
      </c>
      <c r="C78" s="127" t="s">
        <v>211</v>
      </c>
      <c r="D78" s="127" t="s">
        <v>6</v>
      </c>
      <c r="E78" s="127" t="s">
        <v>222</v>
      </c>
      <c r="F78" s="128">
        <f t="shared" si="8"/>
        <v>0</v>
      </c>
      <c r="G78" s="128">
        <f t="shared" si="8"/>
        <v>0</v>
      </c>
      <c r="H78" s="128">
        <f t="shared" si="8"/>
        <v>0</v>
      </c>
    </row>
    <row r="79" spans="1:10" ht="39" hidden="1" customHeight="1" x14ac:dyDescent="0.2">
      <c r="A79" s="126" t="s">
        <v>266</v>
      </c>
      <c r="B79" s="127" t="s">
        <v>108</v>
      </c>
      <c r="C79" s="127" t="s">
        <v>211</v>
      </c>
      <c r="D79" s="127" t="s">
        <v>267</v>
      </c>
      <c r="E79" s="127" t="s">
        <v>222</v>
      </c>
      <c r="F79" s="128">
        <f t="shared" si="8"/>
        <v>0</v>
      </c>
      <c r="G79" s="128">
        <f t="shared" si="8"/>
        <v>0</v>
      </c>
      <c r="H79" s="128">
        <f t="shared" si="8"/>
        <v>0</v>
      </c>
    </row>
    <row r="80" spans="1:10" ht="39" hidden="1" customHeight="1" x14ac:dyDescent="0.2">
      <c r="A80" s="126" t="s">
        <v>680</v>
      </c>
      <c r="B80" s="127" t="s">
        <v>108</v>
      </c>
      <c r="C80" s="127" t="s">
        <v>211</v>
      </c>
      <c r="D80" s="127" t="s">
        <v>267</v>
      </c>
      <c r="E80" s="127" t="s">
        <v>681</v>
      </c>
      <c r="F80" s="128">
        <f t="shared" si="8"/>
        <v>0</v>
      </c>
      <c r="G80" s="128">
        <f t="shared" si="8"/>
        <v>0</v>
      </c>
      <c r="H80" s="128">
        <f t="shared" si="8"/>
        <v>0</v>
      </c>
    </row>
    <row r="81" spans="1:8" ht="17.25" hidden="1" customHeight="1" x14ac:dyDescent="0.25">
      <c r="A81" s="137" t="s">
        <v>700</v>
      </c>
      <c r="B81" s="127" t="s">
        <v>108</v>
      </c>
      <c r="C81" s="127" t="s">
        <v>211</v>
      </c>
      <c r="D81" s="127" t="s">
        <v>267</v>
      </c>
      <c r="E81" s="127" t="s">
        <v>701</v>
      </c>
      <c r="F81" s="128"/>
      <c r="G81" s="128"/>
      <c r="H81" s="128"/>
    </row>
    <row r="82" spans="1:8" s="125" customFormat="1" ht="19.5" customHeight="1" x14ac:dyDescent="0.2">
      <c r="A82" s="138" t="s">
        <v>691</v>
      </c>
      <c r="B82" s="122" t="s">
        <v>108</v>
      </c>
      <c r="C82" s="122" t="s">
        <v>692</v>
      </c>
      <c r="D82" s="122" t="s">
        <v>666</v>
      </c>
      <c r="E82" s="122" t="s">
        <v>222</v>
      </c>
      <c r="F82" s="123">
        <f>F83</f>
        <v>6767.94823</v>
      </c>
      <c r="G82" s="123">
        <f t="shared" ref="F82:H86" si="9">G83</f>
        <v>2000</v>
      </c>
      <c r="H82" s="123">
        <f t="shared" si="9"/>
        <v>2000</v>
      </c>
    </row>
    <row r="83" spans="1:8" ht="33.75" customHeight="1" x14ac:dyDescent="0.2">
      <c r="A83" s="139" t="s">
        <v>669</v>
      </c>
      <c r="B83" s="127" t="s">
        <v>108</v>
      </c>
      <c r="C83" s="127" t="s">
        <v>692</v>
      </c>
      <c r="D83" s="140" t="s">
        <v>5</v>
      </c>
      <c r="E83" s="140" t="s">
        <v>222</v>
      </c>
      <c r="F83" s="128">
        <f t="shared" si="9"/>
        <v>6767.94823</v>
      </c>
      <c r="G83" s="128">
        <f t="shared" si="9"/>
        <v>2000</v>
      </c>
      <c r="H83" s="128">
        <f t="shared" si="9"/>
        <v>2000</v>
      </c>
    </row>
    <row r="84" spans="1:8" ht="49.5" customHeight="1" x14ac:dyDescent="0.2">
      <c r="A84" s="139" t="s">
        <v>110</v>
      </c>
      <c r="B84" s="127" t="s">
        <v>108</v>
      </c>
      <c r="C84" s="127" t="s">
        <v>692</v>
      </c>
      <c r="D84" s="140" t="s">
        <v>6</v>
      </c>
      <c r="E84" s="140" t="s">
        <v>222</v>
      </c>
      <c r="F84" s="128">
        <f t="shared" si="9"/>
        <v>6767.94823</v>
      </c>
      <c r="G84" s="128">
        <f t="shared" si="9"/>
        <v>2000</v>
      </c>
      <c r="H84" s="128">
        <f t="shared" si="9"/>
        <v>2000</v>
      </c>
    </row>
    <row r="85" spans="1:8" ht="33" customHeight="1" x14ac:dyDescent="0.2">
      <c r="A85" s="139" t="s">
        <v>306</v>
      </c>
      <c r="B85" s="127" t="s">
        <v>108</v>
      </c>
      <c r="C85" s="127" t="s">
        <v>692</v>
      </c>
      <c r="D85" s="127" t="s">
        <v>307</v>
      </c>
      <c r="E85" s="140" t="s">
        <v>222</v>
      </c>
      <c r="F85" s="128">
        <f t="shared" si="9"/>
        <v>6767.94823</v>
      </c>
      <c r="G85" s="128">
        <f t="shared" si="9"/>
        <v>2000</v>
      </c>
      <c r="H85" s="128">
        <f t="shared" si="9"/>
        <v>2000</v>
      </c>
    </row>
    <row r="86" spans="1:8" ht="20.25" customHeight="1" x14ac:dyDescent="0.2">
      <c r="A86" s="139" t="s">
        <v>680</v>
      </c>
      <c r="B86" s="127" t="s">
        <v>108</v>
      </c>
      <c r="C86" s="127" t="s">
        <v>692</v>
      </c>
      <c r="D86" s="127" t="s">
        <v>307</v>
      </c>
      <c r="E86" s="140" t="s">
        <v>681</v>
      </c>
      <c r="F86" s="128">
        <f t="shared" si="9"/>
        <v>6767.94823</v>
      </c>
      <c r="G86" s="128">
        <f t="shared" si="9"/>
        <v>2000</v>
      </c>
      <c r="H86" s="128">
        <f t="shared" si="9"/>
        <v>2000</v>
      </c>
    </row>
    <row r="87" spans="1:8" ht="18" customHeight="1" x14ac:dyDescent="0.2">
      <c r="A87" s="139" t="s">
        <v>696</v>
      </c>
      <c r="B87" s="127" t="s">
        <v>108</v>
      </c>
      <c r="C87" s="127" t="s">
        <v>692</v>
      </c>
      <c r="D87" s="127" t="s">
        <v>307</v>
      </c>
      <c r="E87" s="140" t="s">
        <v>697</v>
      </c>
      <c r="F87" s="357">
        <f>'5'!D292</f>
        <v>6767.94823</v>
      </c>
      <c r="G87" s="357">
        <f>'5'!E292</f>
        <v>2000</v>
      </c>
      <c r="H87" s="357">
        <f>'5'!F292</f>
        <v>2000</v>
      </c>
    </row>
    <row r="88" spans="1:8" s="125" customFormat="1" ht="18.75" customHeight="1" x14ac:dyDescent="0.2">
      <c r="A88" s="121" t="s">
        <v>702</v>
      </c>
      <c r="B88" s="122" t="s">
        <v>108</v>
      </c>
      <c r="C88" s="122" t="s">
        <v>703</v>
      </c>
      <c r="D88" s="122" t="s">
        <v>666</v>
      </c>
      <c r="E88" s="122" t="s">
        <v>222</v>
      </c>
      <c r="F88" s="123">
        <f>F89+F127+F180+F198+F116+F201+F204+F218+F221+F229+F137</f>
        <v>20443.64055</v>
      </c>
      <c r="G88" s="123">
        <f>G89+G127+G180+G198+G116+G201+G204+G218+G221+G229+G137</f>
        <v>18242.851350000001</v>
      </c>
      <c r="H88" s="123">
        <f>H89+H127+H180+H198+H116+H201+H204+H218+H221+H229+H137</f>
        <v>18451.457340000001</v>
      </c>
    </row>
    <row r="89" spans="1:8" ht="17.25" customHeight="1" x14ac:dyDescent="0.2">
      <c r="A89" s="126" t="s">
        <v>704</v>
      </c>
      <c r="B89" s="127" t="s">
        <v>108</v>
      </c>
      <c r="C89" s="127" t="s">
        <v>703</v>
      </c>
      <c r="D89" s="127" t="s">
        <v>666</v>
      </c>
      <c r="E89" s="127" t="s">
        <v>222</v>
      </c>
      <c r="F89" s="128">
        <f>F90+F95+F100+F105+F110+F152+F114</f>
        <v>8080.9763500000008</v>
      </c>
      <c r="G89" s="128">
        <f>G90+G95+G100+G105+G110+G152+G114</f>
        <v>7858.2413499999993</v>
      </c>
      <c r="H89" s="128">
        <f>H90+H95+H100+H105+H110+H152+H114</f>
        <v>8086.8473399999984</v>
      </c>
    </row>
    <row r="90" spans="1:8" s="130" customFormat="1" ht="83.25" customHeight="1" x14ac:dyDescent="0.2">
      <c r="A90" s="251" t="s">
        <v>705</v>
      </c>
      <c r="B90" s="8" t="s">
        <v>108</v>
      </c>
      <c r="C90" s="8" t="s">
        <v>703</v>
      </c>
      <c r="D90" s="8" t="s">
        <v>11</v>
      </c>
      <c r="E90" s="8" t="s">
        <v>222</v>
      </c>
      <c r="F90" s="129">
        <f>F91+F93</f>
        <v>1101.2190000000001</v>
      </c>
      <c r="G90" s="129">
        <f>G91+G93</f>
        <v>1111.5810000000001</v>
      </c>
      <c r="H90" s="129">
        <f>H91+H93</f>
        <v>1153.444</v>
      </c>
    </row>
    <row r="91" spans="1:8" ht="96" customHeight="1" x14ac:dyDescent="0.2">
      <c r="A91" s="250" t="s">
        <v>670</v>
      </c>
      <c r="B91" s="127" t="s">
        <v>108</v>
      </c>
      <c r="C91" s="127" t="s">
        <v>703</v>
      </c>
      <c r="D91" s="127" t="s">
        <v>11</v>
      </c>
      <c r="E91" s="127" t="s">
        <v>671</v>
      </c>
      <c r="F91" s="357">
        <f>F92</f>
        <v>1078.8103600000002</v>
      </c>
      <c r="G91" s="128">
        <f>G92</f>
        <v>952.80700000000002</v>
      </c>
      <c r="H91" s="128">
        <f>H92</f>
        <v>952.80700000000002</v>
      </c>
    </row>
    <row r="92" spans="1:8" ht="33" customHeight="1" x14ac:dyDescent="0.2">
      <c r="A92" s="250" t="s">
        <v>672</v>
      </c>
      <c r="B92" s="127" t="s">
        <v>108</v>
      </c>
      <c r="C92" s="127" t="s">
        <v>703</v>
      </c>
      <c r="D92" s="127" t="s">
        <v>11</v>
      </c>
      <c r="E92" s="127" t="s">
        <v>673</v>
      </c>
      <c r="F92" s="357">
        <f>714.291+1.8+21+215.716+114.257+11.74636</f>
        <v>1078.8103600000002</v>
      </c>
      <c r="G92" s="357">
        <f>714.291+1.8+21+215.716</f>
        <v>952.80700000000002</v>
      </c>
      <c r="H92" s="357">
        <f>714.291+1.8+21+215.716</f>
        <v>952.80700000000002</v>
      </c>
    </row>
    <row r="93" spans="1:8" ht="33.75" customHeight="1" x14ac:dyDescent="0.2">
      <c r="A93" s="250" t="s">
        <v>676</v>
      </c>
      <c r="B93" s="127" t="s">
        <v>108</v>
      </c>
      <c r="C93" s="127" t="s">
        <v>703</v>
      </c>
      <c r="D93" s="127" t="s">
        <v>11</v>
      </c>
      <c r="E93" s="127" t="s">
        <v>677</v>
      </c>
      <c r="F93" s="357">
        <f>F94</f>
        <v>22.408639999999973</v>
      </c>
      <c r="G93" s="128">
        <f>G94</f>
        <v>158.774</v>
      </c>
      <c r="H93" s="128">
        <f>H94</f>
        <v>200.637</v>
      </c>
    </row>
    <row r="94" spans="1:8" ht="48.75" customHeight="1" x14ac:dyDescent="0.2">
      <c r="A94" s="250" t="s">
        <v>678</v>
      </c>
      <c r="B94" s="127" t="s">
        <v>108</v>
      </c>
      <c r="C94" s="127" t="s">
        <v>703</v>
      </c>
      <c r="D94" s="127" t="s">
        <v>11</v>
      </c>
      <c r="E94" s="127" t="s">
        <v>679</v>
      </c>
      <c r="F94" s="357">
        <f>158.783-10.371-114.257-11.74636</f>
        <v>22.408639999999973</v>
      </c>
      <c r="G94" s="128">
        <f>200.647-41.873</f>
        <v>158.774</v>
      </c>
      <c r="H94" s="128">
        <f>244.186-43.549</f>
        <v>200.637</v>
      </c>
    </row>
    <row r="95" spans="1:8" s="142" customFormat="1" ht="48" customHeight="1" x14ac:dyDescent="0.2">
      <c r="A95" s="251" t="s">
        <v>706</v>
      </c>
      <c r="B95" s="8" t="s">
        <v>108</v>
      </c>
      <c r="C95" s="8" t="s">
        <v>703</v>
      </c>
      <c r="D95" s="141" t="s">
        <v>435</v>
      </c>
      <c r="E95" s="8" t="s">
        <v>222</v>
      </c>
      <c r="F95" s="131">
        <f>F96+F98</f>
        <v>1680.9669999999999</v>
      </c>
      <c r="G95" s="129">
        <f>G96+G98</f>
        <v>1844.0160000000001</v>
      </c>
      <c r="H95" s="129">
        <f>H96+H98</f>
        <v>1917.778</v>
      </c>
    </row>
    <row r="96" spans="1:8" s="143" customFormat="1" ht="96.75" customHeight="1" x14ac:dyDescent="0.25">
      <c r="A96" s="250" t="s">
        <v>670</v>
      </c>
      <c r="B96" s="127" t="s">
        <v>108</v>
      </c>
      <c r="C96" s="127" t="s">
        <v>703</v>
      </c>
      <c r="D96" s="127" t="s">
        <v>435</v>
      </c>
      <c r="E96" s="127" t="s">
        <v>671</v>
      </c>
      <c r="F96" s="357">
        <f>F97</f>
        <v>1680.9669999999999</v>
      </c>
      <c r="G96" s="128">
        <f>G97</f>
        <v>1844.0160000000001</v>
      </c>
      <c r="H96" s="128">
        <f>H97</f>
        <v>1917.778</v>
      </c>
    </row>
    <row r="97" spans="1:8" ht="31.5" customHeight="1" x14ac:dyDescent="0.2">
      <c r="A97" s="250" t="s">
        <v>672</v>
      </c>
      <c r="B97" s="127" t="s">
        <v>108</v>
      </c>
      <c r="C97" s="127" t="s">
        <v>703</v>
      </c>
      <c r="D97" s="127" t="s">
        <v>435</v>
      </c>
      <c r="E97" s="127" t="s">
        <v>673</v>
      </c>
      <c r="F97" s="357">
        <f>'5'!D309</f>
        <v>1680.9669999999999</v>
      </c>
      <c r="G97" s="357">
        <f>'5'!E309</f>
        <v>1844.0160000000001</v>
      </c>
      <c r="H97" s="357">
        <f>'5'!F309</f>
        <v>1917.778</v>
      </c>
    </row>
    <row r="98" spans="1:8" ht="33.75" hidden="1" customHeight="1" x14ac:dyDescent="0.2">
      <c r="A98" s="250" t="s">
        <v>676</v>
      </c>
      <c r="B98" s="127" t="s">
        <v>108</v>
      </c>
      <c r="C98" s="127" t="s">
        <v>703</v>
      </c>
      <c r="D98" s="127" t="s">
        <v>435</v>
      </c>
      <c r="E98" s="127" t="s">
        <v>677</v>
      </c>
      <c r="F98" s="357">
        <f>F99</f>
        <v>0</v>
      </c>
      <c r="G98" s="128">
        <f>G99</f>
        <v>0</v>
      </c>
      <c r="H98" s="128">
        <f>H99</f>
        <v>0</v>
      </c>
    </row>
    <row r="99" spans="1:8" ht="49.5" hidden="1" customHeight="1" x14ac:dyDescent="0.2">
      <c r="A99" s="250" t="s">
        <v>678</v>
      </c>
      <c r="B99" s="127" t="s">
        <v>108</v>
      </c>
      <c r="C99" s="127" t="s">
        <v>703</v>
      </c>
      <c r="D99" s="127" t="s">
        <v>435</v>
      </c>
      <c r="E99" s="127" t="s">
        <v>679</v>
      </c>
      <c r="F99" s="357"/>
      <c r="G99" s="357"/>
      <c r="H99" s="357"/>
    </row>
    <row r="100" spans="1:8" s="130" customFormat="1" ht="49.5" customHeight="1" x14ac:dyDescent="0.2">
      <c r="A100" s="251" t="s">
        <v>707</v>
      </c>
      <c r="B100" s="8" t="s">
        <v>108</v>
      </c>
      <c r="C100" s="8" t="s">
        <v>703</v>
      </c>
      <c r="D100" s="8" t="s">
        <v>435</v>
      </c>
      <c r="E100" s="8" t="s">
        <v>222</v>
      </c>
      <c r="F100" s="131">
        <f>F101+F103</f>
        <v>1182.1410000000001</v>
      </c>
      <c r="G100" s="129">
        <f>G101+G103</f>
        <v>1052.0730000000001</v>
      </c>
      <c r="H100" s="129">
        <f>H101+H103</f>
        <v>1094.155</v>
      </c>
    </row>
    <row r="101" spans="1:8" ht="97.5" customHeight="1" x14ac:dyDescent="0.2">
      <c r="A101" s="250" t="s">
        <v>670</v>
      </c>
      <c r="B101" s="127" t="s">
        <v>108</v>
      </c>
      <c r="C101" s="127" t="s">
        <v>703</v>
      </c>
      <c r="D101" s="127" t="s">
        <v>435</v>
      </c>
      <c r="E101" s="127" t="s">
        <v>671</v>
      </c>
      <c r="F101" s="357">
        <f>F102</f>
        <v>1182.1410000000001</v>
      </c>
      <c r="G101" s="128">
        <f>G102</f>
        <v>1052.0730000000001</v>
      </c>
      <c r="H101" s="128">
        <f>H102</f>
        <v>1094.155</v>
      </c>
    </row>
    <row r="102" spans="1:8" ht="31.5" customHeight="1" x14ac:dyDescent="0.2">
      <c r="A102" s="250" t="s">
        <v>672</v>
      </c>
      <c r="B102" s="127" t="s">
        <v>108</v>
      </c>
      <c r="C102" s="127" t="s">
        <v>703</v>
      </c>
      <c r="D102" s="127" t="s">
        <v>435</v>
      </c>
      <c r="E102" s="127" t="s">
        <v>673</v>
      </c>
      <c r="F102" s="357">
        <f>'5'!D310</f>
        <v>1182.1410000000001</v>
      </c>
      <c r="G102" s="357">
        <f>'5'!E310</f>
        <v>1052.0730000000001</v>
      </c>
      <c r="H102" s="357">
        <f>'5'!F310</f>
        <v>1094.155</v>
      </c>
    </row>
    <row r="103" spans="1:8" ht="35.25" hidden="1" customHeight="1" x14ac:dyDescent="0.2">
      <c r="A103" s="250" t="s">
        <v>676</v>
      </c>
      <c r="B103" s="127" t="s">
        <v>108</v>
      </c>
      <c r="C103" s="127" t="s">
        <v>703</v>
      </c>
      <c r="D103" s="127" t="s">
        <v>435</v>
      </c>
      <c r="E103" s="127" t="s">
        <v>677</v>
      </c>
      <c r="F103" s="357">
        <f>F104</f>
        <v>0</v>
      </c>
      <c r="G103" s="128">
        <f>G104</f>
        <v>0</v>
      </c>
      <c r="H103" s="128">
        <f>H104</f>
        <v>0</v>
      </c>
    </row>
    <row r="104" spans="1:8" ht="48" hidden="1" customHeight="1" x14ac:dyDescent="0.2">
      <c r="A104" s="250" t="s">
        <v>678</v>
      </c>
      <c r="B104" s="127" t="s">
        <v>108</v>
      </c>
      <c r="C104" s="127" t="s">
        <v>703</v>
      </c>
      <c r="D104" s="127" t="s">
        <v>435</v>
      </c>
      <c r="E104" s="127" t="s">
        <v>679</v>
      </c>
      <c r="F104" s="357"/>
      <c r="G104" s="357"/>
      <c r="H104" s="357"/>
    </row>
    <row r="105" spans="1:8" s="130" customFormat="1" ht="115.5" customHeight="1" x14ac:dyDescent="0.2">
      <c r="A105" s="251" t="s">
        <v>708</v>
      </c>
      <c r="B105" s="8" t="s">
        <v>108</v>
      </c>
      <c r="C105" s="8" t="s">
        <v>703</v>
      </c>
      <c r="D105" s="8" t="s">
        <v>709</v>
      </c>
      <c r="E105" s="8" t="s">
        <v>222</v>
      </c>
      <c r="F105" s="129">
        <f>F106+F108</f>
        <v>1447.646</v>
      </c>
      <c r="G105" s="129">
        <f>G106+G108</f>
        <v>1641.578</v>
      </c>
      <c r="H105" s="129">
        <f>H106+H108</f>
        <v>1696.2670000000001</v>
      </c>
    </row>
    <row r="106" spans="1:8" ht="99" customHeight="1" x14ac:dyDescent="0.2">
      <c r="A106" s="250" t="s">
        <v>670</v>
      </c>
      <c r="B106" s="127" t="s">
        <v>108</v>
      </c>
      <c r="C106" s="127" t="s">
        <v>703</v>
      </c>
      <c r="D106" s="127" t="s">
        <v>709</v>
      </c>
      <c r="E106" s="127" t="s">
        <v>671</v>
      </c>
      <c r="F106" s="128">
        <f>F107</f>
        <v>1447.646</v>
      </c>
      <c r="G106" s="128">
        <f>G107</f>
        <v>1641.578</v>
      </c>
      <c r="H106" s="128">
        <f>H107</f>
        <v>1696.2670000000001</v>
      </c>
    </row>
    <row r="107" spans="1:8" ht="35.25" customHeight="1" x14ac:dyDescent="0.2">
      <c r="A107" s="250" t="s">
        <v>672</v>
      </c>
      <c r="B107" s="127" t="s">
        <v>108</v>
      </c>
      <c r="C107" s="127" t="s">
        <v>703</v>
      </c>
      <c r="D107" s="127" t="s">
        <v>709</v>
      </c>
      <c r="E107" s="127" t="s">
        <v>673</v>
      </c>
      <c r="F107" s="357">
        <v>1447.646</v>
      </c>
      <c r="G107" s="357">
        <f>1260.813+380.765</f>
        <v>1641.578</v>
      </c>
      <c r="H107" s="357">
        <f>1302.816+393.451</f>
        <v>1696.2670000000001</v>
      </c>
    </row>
    <row r="108" spans="1:8" ht="33" hidden="1" customHeight="1" x14ac:dyDescent="0.2">
      <c r="A108" s="250" t="s">
        <v>676</v>
      </c>
      <c r="B108" s="127" t="s">
        <v>108</v>
      </c>
      <c r="C108" s="127" t="s">
        <v>703</v>
      </c>
      <c r="D108" s="127" t="s">
        <v>709</v>
      </c>
      <c r="E108" s="127" t="s">
        <v>677</v>
      </c>
      <c r="F108" s="357">
        <f>F109</f>
        <v>0</v>
      </c>
      <c r="G108" s="128">
        <f>G109</f>
        <v>0</v>
      </c>
      <c r="H108" s="128">
        <f>H109</f>
        <v>0</v>
      </c>
    </row>
    <row r="109" spans="1:8" ht="47.45" hidden="1" customHeight="1" x14ac:dyDescent="0.2">
      <c r="A109" s="250" t="s">
        <v>678</v>
      </c>
      <c r="B109" s="127" t="s">
        <v>108</v>
      </c>
      <c r="C109" s="127" t="s">
        <v>703</v>
      </c>
      <c r="D109" s="127" t="s">
        <v>709</v>
      </c>
      <c r="E109" s="127" t="s">
        <v>679</v>
      </c>
      <c r="F109" s="357"/>
      <c r="G109" s="357"/>
      <c r="H109" s="357"/>
    </row>
    <row r="110" spans="1:8" ht="81.75" customHeight="1" x14ac:dyDescent="0.2">
      <c r="A110" s="251" t="s">
        <v>1107</v>
      </c>
      <c r="B110" s="8" t="s">
        <v>108</v>
      </c>
      <c r="C110" s="8" t="s">
        <v>703</v>
      </c>
      <c r="D110" s="8" t="s">
        <v>711</v>
      </c>
      <c r="E110" s="8" t="s">
        <v>222</v>
      </c>
      <c r="F110" s="131">
        <f>F112+F111</f>
        <v>721.30500000000006</v>
      </c>
      <c r="G110" s="129">
        <f>G112+G111</f>
        <v>449.23899999999998</v>
      </c>
      <c r="H110" s="129">
        <f>H112+H111</f>
        <v>465.44900000000001</v>
      </c>
    </row>
    <row r="111" spans="1:8" ht="42" customHeight="1" x14ac:dyDescent="0.2">
      <c r="A111" s="250" t="s">
        <v>672</v>
      </c>
      <c r="B111" s="127" t="s">
        <v>108</v>
      </c>
      <c r="C111" s="127" t="s">
        <v>703</v>
      </c>
      <c r="D111" s="147" t="s">
        <v>711</v>
      </c>
      <c r="E111" s="133" t="s">
        <v>673</v>
      </c>
      <c r="F111" s="131">
        <f>116.019+0.6+2.8+35.038+201.1+60.7+64.52515+17.10296</f>
        <v>497.88511</v>
      </c>
      <c r="G111" s="131">
        <f>116.019+0.6+2.8+35.038</f>
        <v>154.45699999999999</v>
      </c>
      <c r="H111" s="129">
        <f>116.019+0.6+2.8+35.038</f>
        <v>154.45699999999999</v>
      </c>
    </row>
    <row r="112" spans="1:8" ht="37.5" customHeight="1" x14ac:dyDescent="0.2">
      <c r="A112" s="250" t="s">
        <v>676</v>
      </c>
      <c r="B112" s="127" t="s">
        <v>108</v>
      </c>
      <c r="C112" s="127" t="s">
        <v>703</v>
      </c>
      <c r="D112" s="133" t="s">
        <v>711</v>
      </c>
      <c r="E112" s="133" t="s">
        <v>677</v>
      </c>
      <c r="F112" s="357">
        <f>F113</f>
        <v>223.41989000000001</v>
      </c>
      <c r="G112" s="357">
        <f>G113</f>
        <v>294.78199999999998</v>
      </c>
      <c r="H112" s="128">
        <f>H113</f>
        <v>310.99200000000002</v>
      </c>
    </row>
    <row r="113" spans="1:8" ht="48" customHeight="1" x14ac:dyDescent="0.2">
      <c r="A113" s="250" t="s">
        <v>678</v>
      </c>
      <c r="B113" s="127" t="s">
        <v>108</v>
      </c>
      <c r="C113" s="127" t="s">
        <v>703</v>
      </c>
      <c r="D113" s="133" t="s">
        <v>711</v>
      </c>
      <c r="E113" s="133" t="s">
        <v>679</v>
      </c>
      <c r="F113" s="357">
        <f>294.786-4.016+14.278-81.62811</f>
        <v>223.41989000000001</v>
      </c>
      <c r="G113" s="357">
        <f>310.996-16.214</f>
        <v>294.78199999999998</v>
      </c>
      <c r="H113" s="128">
        <f>327.855-16.863</f>
        <v>310.99200000000002</v>
      </c>
    </row>
    <row r="114" spans="1:8" ht="35.65" hidden="1" customHeight="1" x14ac:dyDescent="0.2">
      <c r="A114" s="250" t="s">
        <v>434</v>
      </c>
      <c r="B114" s="127" t="s">
        <v>108</v>
      </c>
      <c r="C114" s="127" t="s">
        <v>703</v>
      </c>
      <c r="D114" s="133" t="s">
        <v>436</v>
      </c>
      <c r="E114" s="133" t="s">
        <v>222</v>
      </c>
      <c r="F114" s="357">
        <f>F115</f>
        <v>0</v>
      </c>
      <c r="G114" s="357">
        <f>G115</f>
        <v>0</v>
      </c>
      <c r="H114" s="128">
        <f>H115</f>
        <v>0</v>
      </c>
    </row>
    <row r="115" spans="1:8" ht="50.25" hidden="1" customHeight="1" x14ac:dyDescent="0.2">
      <c r="A115" s="250" t="s">
        <v>678</v>
      </c>
      <c r="B115" s="127" t="s">
        <v>108</v>
      </c>
      <c r="C115" s="127" t="s">
        <v>703</v>
      </c>
      <c r="D115" s="133" t="s">
        <v>436</v>
      </c>
      <c r="E115" s="133" t="s">
        <v>679</v>
      </c>
      <c r="F115" s="357"/>
      <c r="G115" s="357"/>
      <c r="H115" s="128"/>
    </row>
    <row r="116" spans="1:8" ht="19.5" hidden="1" customHeight="1" x14ac:dyDescent="0.2">
      <c r="A116" s="252" t="s">
        <v>702</v>
      </c>
      <c r="B116" s="127" t="s">
        <v>108</v>
      </c>
      <c r="C116" s="127" t="s">
        <v>703</v>
      </c>
      <c r="D116" s="154" t="s">
        <v>666</v>
      </c>
      <c r="E116" s="154" t="s">
        <v>222</v>
      </c>
      <c r="F116" s="349">
        <f>F121+F118</f>
        <v>0</v>
      </c>
      <c r="G116" s="349">
        <f>G121+G118</f>
        <v>0</v>
      </c>
      <c r="H116" s="146">
        <f>H121+H118</f>
        <v>0</v>
      </c>
    </row>
    <row r="117" spans="1:8" s="130" customFormat="1" ht="81" hidden="1" customHeight="1" x14ac:dyDescent="0.2">
      <c r="A117" s="251" t="s">
        <v>712</v>
      </c>
      <c r="B117" s="127" t="s">
        <v>108</v>
      </c>
      <c r="C117" s="127" t="s">
        <v>703</v>
      </c>
      <c r="D117" s="147" t="s">
        <v>21</v>
      </c>
      <c r="E117" s="147" t="s">
        <v>222</v>
      </c>
      <c r="F117" s="131">
        <f t="shared" ref="F117:H119" si="10">F118</f>
        <v>0</v>
      </c>
      <c r="G117" s="131">
        <f t="shared" si="10"/>
        <v>0</v>
      </c>
      <c r="H117" s="129">
        <f t="shared" si="10"/>
        <v>0</v>
      </c>
    </row>
    <row r="118" spans="1:8" ht="67.5" hidden="1" customHeight="1" x14ac:dyDescent="0.2">
      <c r="A118" s="250" t="s">
        <v>713</v>
      </c>
      <c r="B118" s="127" t="s">
        <v>108</v>
      </c>
      <c r="C118" s="127" t="s">
        <v>703</v>
      </c>
      <c r="D118" s="133" t="s">
        <v>78</v>
      </c>
      <c r="E118" s="133" t="s">
        <v>714</v>
      </c>
      <c r="F118" s="357">
        <f t="shared" si="10"/>
        <v>0</v>
      </c>
      <c r="G118" s="357">
        <f t="shared" si="10"/>
        <v>0</v>
      </c>
      <c r="H118" s="128">
        <f t="shared" si="10"/>
        <v>0</v>
      </c>
    </row>
    <row r="119" spans="1:8" ht="51" hidden="1" customHeight="1" x14ac:dyDescent="0.2">
      <c r="A119" s="250" t="s">
        <v>715</v>
      </c>
      <c r="B119" s="127" t="s">
        <v>108</v>
      </c>
      <c r="C119" s="127" t="s">
        <v>703</v>
      </c>
      <c r="D119" s="133" t="s">
        <v>78</v>
      </c>
      <c r="E119" s="133" t="s">
        <v>714</v>
      </c>
      <c r="F119" s="357">
        <f t="shared" si="10"/>
        <v>0</v>
      </c>
      <c r="G119" s="357">
        <f t="shared" si="10"/>
        <v>0</v>
      </c>
      <c r="H119" s="128">
        <f t="shared" si="10"/>
        <v>0</v>
      </c>
    </row>
    <row r="120" spans="1:8" ht="19.5" hidden="1" customHeight="1" x14ac:dyDescent="0.2">
      <c r="A120" s="250" t="s">
        <v>716</v>
      </c>
      <c r="B120" s="127" t="s">
        <v>108</v>
      </c>
      <c r="C120" s="127" t="s">
        <v>703</v>
      </c>
      <c r="D120" s="133" t="s">
        <v>78</v>
      </c>
      <c r="E120" s="133" t="s">
        <v>717</v>
      </c>
      <c r="F120" s="357"/>
      <c r="G120" s="357"/>
      <c r="H120" s="128"/>
    </row>
    <row r="121" spans="1:8" ht="81" hidden="1" customHeight="1" x14ac:dyDescent="0.2">
      <c r="A121" s="253" t="s">
        <v>718</v>
      </c>
      <c r="B121" s="127" t="s">
        <v>108</v>
      </c>
      <c r="C121" s="127" t="s">
        <v>703</v>
      </c>
      <c r="D121" s="133" t="s">
        <v>250</v>
      </c>
      <c r="E121" s="133" t="s">
        <v>222</v>
      </c>
      <c r="F121" s="357">
        <f t="shared" ref="F121:H122" si="11">F122</f>
        <v>0</v>
      </c>
      <c r="G121" s="357">
        <f t="shared" si="11"/>
        <v>0</v>
      </c>
      <c r="H121" s="128">
        <f t="shared" si="11"/>
        <v>0</v>
      </c>
    </row>
    <row r="122" spans="1:8" ht="51.75" hidden="1" customHeight="1" x14ac:dyDescent="0.2">
      <c r="A122" s="250" t="s">
        <v>715</v>
      </c>
      <c r="B122" s="127" t="s">
        <v>108</v>
      </c>
      <c r="C122" s="127" t="s">
        <v>703</v>
      </c>
      <c r="D122" s="133" t="s">
        <v>250</v>
      </c>
      <c r="E122" s="133" t="s">
        <v>714</v>
      </c>
      <c r="F122" s="357">
        <f t="shared" si="11"/>
        <v>0</v>
      </c>
      <c r="G122" s="357">
        <f t="shared" si="11"/>
        <v>0</v>
      </c>
      <c r="H122" s="128">
        <f t="shared" si="11"/>
        <v>0</v>
      </c>
    </row>
    <row r="123" spans="1:8" ht="17.25" hidden="1" customHeight="1" x14ac:dyDescent="0.2">
      <c r="A123" s="250" t="s">
        <v>716</v>
      </c>
      <c r="B123" s="127" t="s">
        <v>108</v>
      </c>
      <c r="C123" s="127" t="s">
        <v>703</v>
      </c>
      <c r="D123" s="133" t="s">
        <v>250</v>
      </c>
      <c r="E123" s="133" t="s">
        <v>717</v>
      </c>
      <c r="F123" s="357"/>
      <c r="G123" s="357"/>
      <c r="H123" s="128"/>
    </row>
    <row r="124" spans="1:8" ht="67.150000000000006" hidden="1" customHeight="1" x14ac:dyDescent="0.2">
      <c r="A124" s="251" t="s">
        <v>412</v>
      </c>
      <c r="B124" s="8" t="s">
        <v>108</v>
      </c>
      <c r="C124" s="8" t="s">
        <v>703</v>
      </c>
      <c r="D124" s="147" t="s">
        <v>413</v>
      </c>
      <c r="E124" s="147" t="s">
        <v>222</v>
      </c>
      <c r="F124" s="131">
        <f t="shared" ref="F124:H125" si="12">F125</f>
        <v>0</v>
      </c>
      <c r="G124" s="131">
        <f t="shared" si="12"/>
        <v>0</v>
      </c>
      <c r="H124" s="129">
        <f t="shared" si="12"/>
        <v>0</v>
      </c>
    </row>
    <row r="125" spans="1:8" ht="78" hidden="1" customHeight="1" x14ac:dyDescent="0.2">
      <c r="A125" s="250" t="s">
        <v>670</v>
      </c>
      <c r="B125" s="127" t="s">
        <v>108</v>
      </c>
      <c r="C125" s="127" t="s">
        <v>703</v>
      </c>
      <c r="D125" s="133" t="s">
        <v>413</v>
      </c>
      <c r="E125" s="133" t="s">
        <v>671</v>
      </c>
      <c r="F125" s="357">
        <f t="shared" si="12"/>
        <v>0</v>
      </c>
      <c r="G125" s="357">
        <f t="shared" si="12"/>
        <v>0</v>
      </c>
      <c r="H125" s="128">
        <f t="shared" si="12"/>
        <v>0</v>
      </c>
    </row>
    <row r="126" spans="1:8" ht="35.65" hidden="1" customHeight="1" x14ac:dyDescent="0.2">
      <c r="A126" s="250" t="s">
        <v>672</v>
      </c>
      <c r="B126" s="127" t="s">
        <v>108</v>
      </c>
      <c r="C126" s="127" t="s">
        <v>703</v>
      </c>
      <c r="D126" s="133" t="s">
        <v>413</v>
      </c>
      <c r="E126" s="133" t="s">
        <v>673</v>
      </c>
      <c r="F126" s="357"/>
      <c r="G126" s="357"/>
      <c r="H126" s="128"/>
    </row>
    <row r="127" spans="1:8" ht="34.5" customHeight="1" x14ac:dyDescent="0.2">
      <c r="A127" s="250" t="s">
        <v>669</v>
      </c>
      <c r="B127" s="127" t="s">
        <v>108</v>
      </c>
      <c r="C127" s="127" t="s">
        <v>703</v>
      </c>
      <c r="D127" s="133" t="s">
        <v>5</v>
      </c>
      <c r="E127" s="133" t="s">
        <v>222</v>
      </c>
      <c r="F127" s="357">
        <f>F128</f>
        <v>12199.664199999999</v>
      </c>
      <c r="G127" s="357">
        <f>G128</f>
        <v>10205.61</v>
      </c>
      <c r="H127" s="128">
        <f>H128</f>
        <v>10205.61</v>
      </c>
    </row>
    <row r="128" spans="1:8" ht="51" customHeight="1" x14ac:dyDescent="0.2">
      <c r="A128" s="250" t="s">
        <v>110</v>
      </c>
      <c r="B128" s="127" t="s">
        <v>108</v>
      </c>
      <c r="C128" s="127" t="s">
        <v>703</v>
      </c>
      <c r="D128" s="133" t="s">
        <v>6</v>
      </c>
      <c r="E128" s="133" t="s">
        <v>222</v>
      </c>
      <c r="F128" s="357">
        <f>F129+F134+F139+F142+F147+F165+F168+F174+F177</f>
        <v>12199.664199999999</v>
      </c>
      <c r="G128" s="357">
        <f>G129+G134+G139+G142+G147+G165+G168+G171+G174+G177</f>
        <v>10205.61</v>
      </c>
      <c r="H128" s="128">
        <f>H129+H134+H139+H142+H147+H165+H168+H171+H174+H177</f>
        <v>10205.61</v>
      </c>
    </row>
    <row r="129" spans="1:9" s="130" customFormat="1" ht="49.5" customHeight="1" x14ac:dyDescent="0.2">
      <c r="A129" s="251" t="s">
        <v>719</v>
      </c>
      <c r="B129" s="8" t="s">
        <v>108</v>
      </c>
      <c r="C129" s="8" t="s">
        <v>703</v>
      </c>
      <c r="D129" s="147" t="s">
        <v>9</v>
      </c>
      <c r="E129" s="147" t="s">
        <v>222</v>
      </c>
      <c r="F129" s="131">
        <f>F130+F132</f>
        <v>7535.2052899999999</v>
      </c>
      <c r="G129" s="131">
        <f>G130+G132</f>
        <v>7247.5</v>
      </c>
      <c r="H129" s="129">
        <f>H130+H132</f>
        <v>7247.5</v>
      </c>
    </row>
    <row r="130" spans="1:9" ht="96" customHeight="1" x14ac:dyDescent="0.2">
      <c r="A130" s="250" t="s">
        <v>670</v>
      </c>
      <c r="B130" s="127" t="s">
        <v>108</v>
      </c>
      <c r="C130" s="127" t="s">
        <v>703</v>
      </c>
      <c r="D130" s="133" t="s">
        <v>9</v>
      </c>
      <c r="E130" s="133" t="s">
        <v>671</v>
      </c>
      <c r="F130" s="357">
        <f>F131</f>
        <v>7443.2052899999999</v>
      </c>
      <c r="G130" s="357">
        <f>G131</f>
        <v>7155.5</v>
      </c>
      <c r="H130" s="128">
        <f>H131</f>
        <v>7155.5</v>
      </c>
    </row>
    <row r="131" spans="1:9" ht="34.5" customHeight="1" x14ac:dyDescent="0.2">
      <c r="A131" s="250" t="s">
        <v>672</v>
      </c>
      <c r="B131" s="127" t="s">
        <v>108</v>
      </c>
      <c r="C131" s="127" t="s">
        <v>703</v>
      </c>
      <c r="D131" s="133" t="s">
        <v>9</v>
      </c>
      <c r="E131" s="133" t="s">
        <v>673</v>
      </c>
      <c r="F131" s="357">
        <f>5461.2+45+1649.3+8.4+47.6+231.70529</f>
        <v>7443.2052899999999</v>
      </c>
      <c r="G131" s="357">
        <f t="shared" ref="G131:H131" si="13">5461.2+45+1649.3</f>
        <v>7155.5</v>
      </c>
      <c r="H131" s="357">
        <f t="shared" si="13"/>
        <v>7155.5</v>
      </c>
      <c r="I131" s="112" t="s">
        <v>1136</v>
      </c>
    </row>
    <row r="132" spans="1:9" ht="35.25" customHeight="1" x14ac:dyDescent="0.2">
      <c r="A132" s="250" t="s">
        <v>676</v>
      </c>
      <c r="B132" s="127" t="s">
        <v>108</v>
      </c>
      <c r="C132" s="127" t="s">
        <v>703</v>
      </c>
      <c r="D132" s="133" t="s">
        <v>9</v>
      </c>
      <c r="E132" s="133" t="s">
        <v>677</v>
      </c>
      <c r="F132" s="357">
        <f>F133</f>
        <v>92</v>
      </c>
      <c r="G132" s="357">
        <f>G133</f>
        <v>92</v>
      </c>
      <c r="H132" s="128">
        <f>H133</f>
        <v>92</v>
      </c>
    </row>
    <row r="133" spans="1:9" ht="49.5" customHeight="1" x14ac:dyDescent="0.2">
      <c r="A133" s="250" t="s">
        <v>678</v>
      </c>
      <c r="B133" s="127" t="s">
        <v>108</v>
      </c>
      <c r="C133" s="127" t="s">
        <v>703</v>
      </c>
      <c r="D133" s="127" t="s">
        <v>9</v>
      </c>
      <c r="E133" s="127" t="s">
        <v>679</v>
      </c>
      <c r="F133" s="357">
        <f>137-45</f>
        <v>92</v>
      </c>
      <c r="G133" s="357">
        <f t="shared" ref="G133:H133" si="14">137-45</f>
        <v>92</v>
      </c>
      <c r="H133" s="357">
        <f t="shared" si="14"/>
        <v>92</v>
      </c>
    </row>
    <row r="134" spans="1:9" s="130" customFormat="1" ht="15.75" customHeight="1" x14ac:dyDescent="0.2">
      <c r="A134" s="251" t="s">
        <v>720</v>
      </c>
      <c r="B134" s="8" t="s">
        <v>108</v>
      </c>
      <c r="C134" s="8" t="s">
        <v>703</v>
      </c>
      <c r="D134" s="8" t="s">
        <v>12</v>
      </c>
      <c r="E134" s="8" t="s">
        <v>222</v>
      </c>
      <c r="F134" s="131">
        <f t="shared" ref="F134:H135" si="15">F135</f>
        <v>5.5111000000000008</v>
      </c>
      <c r="G134" s="129">
        <f t="shared" si="15"/>
        <v>0</v>
      </c>
      <c r="H134" s="129">
        <f t="shared" si="15"/>
        <v>0</v>
      </c>
    </row>
    <row r="135" spans="1:9" ht="15.75" customHeight="1" x14ac:dyDescent="0.2">
      <c r="A135" s="250" t="s">
        <v>680</v>
      </c>
      <c r="B135" s="127" t="s">
        <v>108</v>
      </c>
      <c r="C135" s="127" t="s">
        <v>703</v>
      </c>
      <c r="D135" s="127" t="s">
        <v>12</v>
      </c>
      <c r="E135" s="127" t="s">
        <v>681</v>
      </c>
      <c r="F135" s="357">
        <f t="shared" si="15"/>
        <v>5.5111000000000008</v>
      </c>
      <c r="G135" s="128">
        <f t="shared" si="15"/>
        <v>0</v>
      </c>
      <c r="H135" s="128">
        <f t="shared" si="15"/>
        <v>0</v>
      </c>
    </row>
    <row r="136" spans="1:9" ht="15.75" customHeight="1" x14ac:dyDescent="0.2">
      <c r="A136" s="250" t="s">
        <v>720</v>
      </c>
      <c r="B136" s="127" t="s">
        <v>108</v>
      </c>
      <c r="C136" s="127" t="s">
        <v>703</v>
      </c>
      <c r="D136" s="127" t="s">
        <v>12</v>
      </c>
      <c r="E136" s="127" t="s">
        <v>721</v>
      </c>
      <c r="F136" s="357">
        <f>'5'!D268</f>
        <v>5.5111000000000008</v>
      </c>
      <c r="G136" s="357">
        <f>'5'!E268</f>
        <v>0</v>
      </c>
      <c r="H136" s="357">
        <f>'5'!F268</f>
        <v>0</v>
      </c>
    </row>
    <row r="137" spans="1:9" ht="32.450000000000003" hidden="1" customHeight="1" x14ac:dyDescent="0.2">
      <c r="A137" s="257" t="s">
        <v>629</v>
      </c>
      <c r="B137" s="133" t="s">
        <v>108</v>
      </c>
      <c r="C137" s="133" t="s">
        <v>703</v>
      </c>
      <c r="D137" s="133" t="s">
        <v>9</v>
      </c>
      <c r="E137" s="133" t="s">
        <v>677</v>
      </c>
      <c r="F137" s="357">
        <f>F138</f>
        <v>0</v>
      </c>
      <c r="G137" s="357">
        <f>G138</f>
        <v>0</v>
      </c>
      <c r="H137" s="357">
        <f>H138</f>
        <v>0</v>
      </c>
    </row>
    <row r="138" spans="1:9" ht="35.450000000000003" hidden="1" customHeight="1" x14ac:dyDescent="0.2">
      <c r="A138" s="250" t="s">
        <v>678</v>
      </c>
      <c r="B138" s="127" t="s">
        <v>108</v>
      </c>
      <c r="C138" s="127" t="s">
        <v>703</v>
      </c>
      <c r="D138" s="133" t="s">
        <v>9</v>
      </c>
      <c r="E138" s="127" t="s">
        <v>679</v>
      </c>
      <c r="F138" s="357"/>
      <c r="G138" s="128"/>
      <c r="H138" s="128"/>
    </row>
    <row r="139" spans="1:9" s="130" customFormat="1" ht="63" customHeight="1" x14ac:dyDescent="0.2">
      <c r="A139" s="251" t="s">
        <v>722</v>
      </c>
      <c r="B139" s="8" t="s">
        <v>108</v>
      </c>
      <c r="C139" s="8" t="s">
        <v>703</v>
      </c>
      <c r="D139" s="8" t="s">
        <v>13</v>
      </c>
      <c r="E139" s="8" t="s">
        <v>222</v>
      </c>
      <c r="F139" s="131">
        <f t="shared" ref="F139:H140" si="16">F140</f>
        <v>860</v>
      </c>
      <c r="G139" s="129">
        <f t="shared" si="16"/>
        <v>420.96</v>
      </c>
      <c r="H139" s="129">
        <f t="shared" si="16"/>
        <v>420.96</v>
      </c>
    </row>
    <row r="140" spans="1:9" ht="35.25" customHeight="1" x14ac:dyDescent="0.2">
      <c r="A140" s="250" t="s">
        <v>676</v>
      </c>
      <c r="B140" s="127" t="s">
        <v>108</v>
      </c>
      <c r="C140" s="127" t="s">
        <v>703</v>
      </c>
      <c r="D140" s="127" t="s">
        <v>13</v>
      </c>
      <c r="E140" s="127" t="s">
        <v>677</v>
      </c>
      <c r="F140" s="357">
        <f t="shared" si="16"/>
        <v>860</v>
      </c>
      <c r="G140" s="128">
        <f t="shared" si="16"/>
        <v>420.96</v>
      </c>
      <c r="H140" s="128">
        <f t="shared" si="16"/>
        <v>420.96</v>
      </c>
    </row>
    <row r="141" spans="1:9" ht="49.5" customHeight="1" x14ac:dyDescent="0.2">
      <c r="A141" s="250" t="s">
        <v>678</v>
      </c>
      <c r="B141" s="127" t="s">
        <v>108</v>
      </c>
      <c r="C141" s="127" t="s">
        <v>703</v>
      </c>
      <c r="D141" s="127" t="s">
        <v>13</v>
      </c>
      <c r="E141" s="127" t="s">
        <v>679</v>
      </c>
      <c r="F141" s="357">
        <f>'5'!D270</f>
        <v>860</v>
      </c>
      <c r="G141" s="357">
        <f>'5'!E270</f>
        <v>420.96</v>
      </c>
      <c r="H141" s="357">
        <f>'5'!F270</f>
        <v>420.96</v>
      </c>
    </row>
    <row r="142" spans="1:9" ht="16.5" customHeight="1" x14ac:dyDescent="0.2">
      <c r="A142" s="251" t="s">
        <v>274</v>
      </c>
      <c r="B142" s="8" t="s">
        <v>108</v>
      </c>
      <c r="C142" s="8" t="s">
        <v>703</v>
      </c>
      <c r="D142" s="8" t="s">
        <v>275</v>
      </c>
      <c r="E142" s="8" t="s">
        <v>222</v>
      </c>
      <c r="F142" s="131">
        <f>F143+F145</f>
        <v>2551.7728099999999</v>
      </c>
      <c r="G142" s="129">
        <f>G143+G145</f>
        <v>2087.15</v>
      </c>
      <c r="H142" s="129">
        <f>H143+H145</f>
        <v>2087.15</v>
      </c>
    </row>
    <row r="143" spans="1:9" ht="34.5" customHeight="1" x14ac:dyDescent="0.2">
      <c r="A143" s="250" t="s">
        <v>676</v>
      </c>
      <c r="B143" s="127" t="s">
        <v>108</v>
      </c>
      <c r="C143" s="127" t="s">
        <v>703</v>
      </c>
      <c r="D143" s="127" t="s">
        <v>275</v>
      </c>
      <c r="E143" s="127" t="s">
        <v>677</v>
      </c>
      <c r="F143" s="357">
        <f>F144</f>
        <v>2551.7728099999999</v>
      </c>
      <c r="G143" s="128">
        <f>G144</f>
        <v>2087.15</v>
      </c>
      <c r="H143" s="128">
        <f>H144</f>
        <v>2087.15</v>
      </c>
    </row>
    <row r="144" spans="1:9" ht="54.75" customHeight="1" x14ac:dyDescent="0.2">
      <c r="A144" s="250" t="s">
        <v>678</v>
      </c>
      <c r="B144" s="127" t="s">
        <v>108</v>
      </c>
      <c r="C144" s="127" t="s">
        <v>703</v>
      </c>
      <c r="D144" s="127" t="s">
        <v>275</v>
      </c>
      <c r="E144" s="127" t="s">
        <v>679</v>
      </c>
      <c r="F144" s="357">
        <f>'5'!D288</f>
        <v>2551.7728099999999</v>
      </c>
      <c r="G144" s="357">
        <f>'5'!E288</f>
        <v>2087.15</v>
      </c>
      <c r="H144" s="357">
        <f>'5'!F288</f>
        <v>2087.15</v>
      </c>
    </row>
    <row r="145" spans="1:8" ht="21.75" hidden="1" customHeight="1" x14ac:dyDescent="0.2">
      <c r="A145" s="250" t="s">
        <v>680</v>
      </c>
      <c r="B145" s="127" t="s">
        <v>108</v>
      </c>
      <c r="C145" s="127" t="s">
        <v>703</v>
      </c>
      <c r="D145" s="127" t="s">
        <v>275</v>
      </c>
      <c r="E145" s="127" t="s">
        <v>681</v>
      </c>
      <c r="F145" s="357">
        <f>F146</f>
        <v>0</v>
      </c>
      <c r="G145" s="128">
        <f>G146</f>
        <v>0</v>
      </c>
      <c r="H145" s="128">
        <f>H146</f>
        <v>0</v>
      </c>
    </row>
    <row r="146" spans="1:8" ht="21" hidden="1" customHeight="1" x14ac:dyDescent="0.2">
      <c r="A146" s="250" t="s">
        <v>682</v>
      </c>
      <c r="B146" s="127" t="s">
        <v>108</v>
      </c>
      <c r="C146" s="127" t="s">
        <v>703</v>
      </c>
      <c r="D146" s="127" t="s">
        <v>275</v>
      </c>
      <c r="E146" s="127" t="s">
        <v>683</v>
      </c>
      <c r="F146" s="357"/>
      <c r="G146" s="128"/>
      <c r="H146" s="128"/>
    </row>
    <row r="147" spans="1:8" s="130" customFormat="1" ht="87.75" customHeight="1" x14ac:dyDescent="0.2">
      <c r="A147" s="256" t="s">
        <v>525</v>
      </c>
      <c r="B147" s="147" t="s">
        <v>108</v>
      </c>
      <c r="C147" s="147" t="s">
        <v>703</v>
      </c>
      <c r="D147" s="147" t="s">
        <v>526</v>
      </c>
      <c r="E147" s="147" t="s">
        <v>222</v>
      </c>
      <c r="F147" s="131">
        <f>F149+F150</f>
        <v>217.5</v>
      </c>
      <c r="G147" s="129">
        <f>G149+G150</f>
        <v>0</v>
      </c>
      <c r="H147" s="129">
        <f>H149+H150</f>
        <v>0</v>
      </c>
    </row>
    <row r="148" spans="1:8" s="130" customFormat="1" ht="36.75" customHeight="1" x14ac:dyDescent="0.2">
      <c r="A148" s="257" t="s">
        <v>676</v>
      </c>
      <c r="B148" s="133" t="s">
        <v>108</v>
      </c>
      <c r="C148" s="133" t="s">
        <v>703</v>
      </c>
      <c r="D148" s="147" t="s">
        <v>526</v>
      </c>
      <c r="E148" s="133" t="s">
        <v>677</v>
      </c>
      <c r="F148" s="357">
        <f>F149</f>
        <v>217.5</v>
      </c>
      <c r="G148" s="128">
        <f>G149</f>
        <v>0</v>
      </c>
      <c r="H148" s="128">
        <f>H149</f>
        <v>0</v>
      </c>
    </row>
    <row r="149" spans="1:8" ht="48.75" customHeight="1" x14ac:dyDescent="0.2">
      <c r="A149" s="257" t="s">
        <v>678</v>
      </c>
      <c r="B149" s="133" t="s">
        <v>108</v>
      </c>
      <c r="C149" s="133" t="s">
        <v>703</v>
      </c>
      <c r="D149" s="147" t="s">
        <v>526</v>
      </c>
      <c r="E149" s="133" t="s">
        <v>679</v>
      </c>
      <c r="F149" s="357">
        <f>'5'!D297</f>
        <v>217.5</v>
      </c>
      <c r="G149" s="128">
        <v>0</v>
      </c>
      <c r="H149" s="128">
        <v>0</v>
      </c>
    </row>
    <row r="150" spans="1:8" ht="21" customHeight="1" x14ac:dyDescent="0.2">
      <c r="A150" s="250" t="s">
        <v>680</v>
      </c>
      <c r="B150" s="127" t="s">
        <v>108</v>
      </c>
      <c r="C150" s="127" t="s">
        <v>703</v>
      </c>
      <c r="D150" s="127" t="s">
        <v>300</v>
      </c>
      <c r="E150" s="127" t="s">
        <v>681</v>
      </c>
      <c r="F150" s="357">
        <f>F151</f>
        <v>0</v>
      </c>
      <c r="G150" s="128">
        <f>G151</f>
        <v>0</v>
      </c>
      <c r="H150" s="128">
        <f>H151</f>
        <v>0</v>
      </c>
    </row>
    <row r="151" spans="1:8" ht="16.149999999999999" customHeight="1" x14ac:dyDescent="0.2">
      <c r="A151" s="250" t="s">
        <v>682</v>
      </c>
      <c r="B151" s="127" t="s">
        <v>108</v>
      </c>
      <c r="C151" s="127" t="s">
        <v>703</v>
      </c>
      <c r="D151" s="127" t="s">
        <v>300</v>
      </c>
      <c r="E151" s="127" t="s">
        <v>683</v>
      </c>
      <c r="F151" s="357"/>
      <c r="G151" s="128"/>
      <c r="H151" s="128"/>
    </row>
    <row r="152" spans="1:8" s="143" customFormat="1" ht="81" customHeight="1" x14ac:dyDescent="0.25">
      <c r="A152" s="258" t="s">
        <v>723</v>
      </c>
      <c r="B152" s="135" t="s">
        <v>108</v>
      </c>
      <c r="C152" s="135" t="s">
        <v>703</v>
      </c>
      <c r="D152" s="135" t="s">
        <v>666</v>
      </c>
      <c r="E152" s="135" t="s">
        <v>222</v>
      </c>
      <c r="F152" s="148">
        <f>F153+F159</f>
        <v>1947.6983500000001</v>
      </c>
      <c r="G152" s="136">
        <f>G153+G159</f>
        <v>1759.7543500000002</v>
      </c>
      <c r="H152" s="136">
        <f>H153+H159</f>
        <v>1759.75434</v>
      </c>
    </row>
    <row r="153" spans="1:8" ht="38.25" customHeight="1" x14ac:dyDescent="0.2">
      <c r="A153" s="250" t="s">
        <v>699</v>
      </c>
      <c r="B153" s="127" t="s">
        <v>108</v>
      </c>
      <c r="C153" s="127" t="s">
        <v>703</v>
      </c>
      <c r="D153" s="127" t="s">
        <v>5</v>
      </c>
      <c r="E153" s="127" t="s">
        <v>222</v>
      </c>
      <c r="F153" s="128">
        <f>F154</f>
        <v>1947.6983500000001</v>
      </c>
      <c r="G153" s="128">
        <f>G154</f>
        <v>1759.7543500000002</v>
      </c>
      <c r="H153" s="128">
        <f>H154</f>
        <v>1759.75434</v>
      </c>
    </row>
    <row r="154" spans="1:8" ht="45.75" customHeight="1" x14ac:dyDescent="0.2">
      <c r="A154" s="250" t="s">
        <v>110</v>
      </c>
      <c r="B154" s="127" t="s">
        <v>108</v>
      </c>
      <c r="C154" s="127" t="s">
        <v>703</v>
      </c>
      <c r="D154" s="127" t="s">
        <v>6</v>
      </c>
      <c r="E154" s="127" t="s">
        <v>222</v>
      </c>
      <c r="F154" s="128">
        <f>F155+F157</f>
        <v>1947.6983500000001</v>
      </c>
      <c r="G154" s="128">
        <f>G155+G157</f>
        <v>1759.7543500000002</v>
      </c>
      <c r="H154" s="128">
        <f>H155+H157</f>
        <v>1759.75434</v>
      </c>
    </row>
    <row r="155" spans="1:8" ht="96" customHeight="1" x14ac:dyDescent="0.2">
      <c r="A155" s="250" t="s">
        <v>670</v>
      </c>
      <c r="B155" s="127" t="s">
        <v>108</v>
      </c>
      <c r="C155" s="127" t="s">
        <v>703</v>
      </c>
      <c r="D155" s="153" t="s">
        <v>1047</v>
      </c>
      <c r="E155" s="127" t="s">
        <v>671</v>
      </c>
      <c r="F155" s="128">
        <f>F156</f>
        <v>1313.9582600000001</v>
      </c>
      <c r="G155" s="128">
        <f>G156</f>
        <v>976.86347000000001</v>
      </c>
      <c r="H155" s="128">
        <f>H156</f>
        <v>976.86347000000001</v>
      </c>
    </row>
    <row r="156" spans="1:8" ht="32.25" customHeight="1" x14ac:dyDescent="0.2">
      <c r="A156" s="250" t="s">
        <v>672</v>
      </c>
      <c r="B156" s="127" t="s">
        <v>108</v>
      </c>
      <c r="C156" s="127" t="s">
        <v>703</v>
      </c>
      <c r="D156" s="153" t="s">
        <v>1047</v>
      </c>
      <c r="E156" s="127" t="s">
        <v>673</v>
      </c>
      <c r="F156" s="357">
        <f>940.346+283.98523+89.62703</f>
        <v>1313.9582600000001</v>
      </c>
      <c r="G156" s="357">
        <f>750.279+226.58447</f>
        <v>976.86347000000001</v>
      </c>
      <c r="H156" s="357">
        <f>750.279+226.58447</f>
        <v>976.86347000000001</v>
      </c>
    </row>
    <row r="157" spans="1:8" ht="37.5" customHeight="1" x14ac:dyDescent="0.2">
      <c r="A157" s="250" t="s">
        <v>676</v>
      </c>
      <c r="B157" s="127" t="s">
        <v>108</v>
      </c>
      <c r="C157" s="127" t="s">
        <v>703</v>
      </c>
      <c r="D157" s="153" t="s">
        <v>1047</v>
      </c>
      <c r="E157" s="127" t="s">
        <v>677</v>
      </c>
      <c r="F157" s="357">
        <f>F158</f>
        <v>633.74009000000001</v>
      </c>
      <c r="G157" s="357">
        <f>G158</f>
        <v>782.89088000000004</v>
      </c>
      <c r="H157" s="357">
        <f>H158</f>
        <v>782.89086999999995</v>
      </c>
    </row>
    <row r="158" spans="1:8" ht="49.5" customHeight="1" x14ac:dyDescent="0.2">
      <c r="A158" s="250" t="s">
        <v>678</v>
      </c>
      <c r="B158" s="127" t="s">
        <v>108</v>
      </c>
      <c r="C158" s="127" t="s">
        <v>703</v>
      </c>
      <c r="D158" s="153" t="s">
        <v>1047</v>
      </c>
      <c r="E158" s="127" t="s">
        <v>679</v>
      </c>
      <c r="F158" s="357">
        <f>1.261+722.10612-89.62703</f>
        <v>633.74009000000001</v>
      </c>
      <c r="G158" s="357">
        <v>782.89088000000004</v>
      </c>
      <c r="H158" s="357">
        <v>782.89086999999995</v>
      </c>
    </row>
    <row r="159" spans="1:8" ht="49.5" hidden="1" customHeight="1" x14ac:dyDescent="0.2">
      <c r="A159" s="250" t="s">
        <v>699</v>
      </c>
      <c r="B159" s="127" t="s">
        <v>108</v>
      </c>
      <c r="C159" s="127" t="s">
        <v>703</v>
      </c>
      <c r="D159" s="127" t="s">
        <v>5</v>
      </c>
      <c r="E159" s="127" t="s">
        <v>222</v>
      </c>
      <c r="F159" s="357">
        <f>F160</f>
        <v>0</v>
      </c>
      <c r="G159" s="128">
        <f>G160</f>
        <v>0</v>
      </c>
      <c r="H159" s="128">
        <f>H160</f>
        <v>0</v>
      </c>
    </row>
    <row r="160" spans="1:8" ht="49.5" hidden="1" customHeight="1" x14ac:dyDescent="0.2">
      <c r="A160" s="250" t="s">
        <v>110</v>
      </c>
      <c r="B160" s="127" t="s">
        <v>108</v>
      </c>
      <c r="C160" s="127" t="s">
        <v>703</v>
      </c>
      <c r="D160" s="127" t="s">
        <v>6</v>
      </c>
      <c r="E160" s="127" t="s">
        <v>222</v>
      </c>
      <c r="F160" s="357">
        <f>F161+F163</f>
        <v>0</v>
      </c>
      <c r="G160" s="128">
        <f>G161+G163</f>
        <v>0</v>
      </c>
      <c r="H160" s="128">
        <f>H161+H163</f>
        <v>0</v>
      </c>
    </row>
    <row r="161" spans="1:8" ht="93" hidden="1" customHeight="1" x14ac:dyDescent="0.2">
      <c r="A161" s="250" t="s">
        <v>670</v>
      </c>
      <c r="B161" s="127" t="s">
        <v>108</v>
      </c>
      <c r="C161" s="127" t="s">
        <v>703</v>
      </c>
      <c r="D161" s="127" t="s">
        <v>503</v>
      </c>
      <c r="E161" s="127" t="s">
        <v>671</v>
      </c>
      <c r="F161" s="357">
        <f>F162</f>
        <v>0</v>
      </c>
      <c r="G161" s="128">
        <f>G162</f>
        <v>0</v>
      </c>
      <c r="H161" s="128">
        <f>H162</f>
        <v>0</v>
      </c>
    </row>
    <row r="162" spans="1:8" ht="41.45" hidden="1" customHeight="1" x14ac:dyDescent="0.2">
      <c r="A162" s="250" t="s">
        <v>672</v>
      </c>
      <c r="B162" s="127" t="s">
        <v>108</v>
      </c>
      <c r="C162" s="127" t="s">
        <v>703</v>
      </c>
      <c r="D162" s="127" t="s">
        <v>503</v>
      </c>
      <c r="E162" s="127" t="s">
        <v>673</v>
      </c>
      <c r="F162" s="357"/>
      <c r="G162" s="128"/>
      <c r="H162" s="128"/>
    </row>
    <row r="163" spans="1:8" ht="49.5" hidden="1" customHeight="1" x14ac:dyDescent="0.2">
      <c r="A163" s="250" t="s">
        <v>676</v>
      </c>
      <c r="B163" s="127" t="s">
        <v>108</v>
      </c>
      <c r="C163" s="127" t="s">
        <v>703</v>
      </c>
      <c r="D163" s="127" t="s">
        <v>503</v>
      </c>
      <c r="E163" s="127" t="s">
        <v>677</v>
      </c>
      <c r="F163" s="357">
        <f>F164</f>
        <v>0</v>
      </c>
      <c r="G163" s="128">
        <f>G164</f>
        <v>0</v>
      </c>
      <c r="H163" s="128">
        <f>H164</f>
        <v>0</v>
      </c>
    </row>
    <row r="164" spans="1:8" ht="49.5" hidden="1" customHeight="1" x14ac:dyDescent="0.2">
      <c r="A164" s="250" t="s">
        <v>678</v>
      </c>
      <c r="B164" s="127" t="s">
        <v>108</v>
      </c>
      <c r="C164" s="127" t="s">
        <v>703</v>
      </c>
      <c r="D164" s="127" t="s">
        <v>503</v>
      </c>
      <c r="E164" s="127" t="s">
        <v>679</v>
      </c>
      <c r="F164" s="357"/>
      <c r="G164" s="128"/>
      <c r="H164" s="128"/>
    </row>
    <row r="165" spans="1:8" ht="46.15" hidden="1" customHeight="1" x14ac:dyDescent="0.2">
      <c r="A165" s="251" t="s">
        <v>401</v>
      </c>
      <c r="B165" s="8" t="s">
        <v>108</v>
      </c>
      <c r="C165" s="8" t="s">
        <v>703</v>
      </c>
      <c r="D165" s="8" t="s">
        <v>402</v>
      </c>
      <c r="E165" s="8" t="s">
        <v>222</v>
      </c>
      <c r="F165" s="131">
        <f t="shared" ref="F165:H166" si="17">F166</f>
        <v>0</v>
      </c>
      <c r="G165" s="129">
        <f t="shared" si="17"/>
        <v>0</v>
      </c>
      <c r="H165" s="129">
        <f t="shared" si="17"/>
        <v>0</v>
      </c>
    </row>
    <row r="166" spans="1:8" ht="35.65" hidden="1" customHeight="1" x14ac:dyDescent="0.2">
      <c r="A166" s="250" t="s">
        <v>676</v>
      </c>
      <c r="B166" s="127" t="s">
        <v>108</v>
      </c>
      <c r="C166" s="127" t="s">
        <v>703</v>
      </c>
      <c r="D166" s="127" t="s">
        <v>402</v>
      </c>
      <c r="E166" s="127" t="s">
        <v>677</v>
      </c>
      <c r="F166" s="357">
        <f t="shared" si="17"/>
        <v>0</v>
      </c>
      <c r="G166" s="128">
        <f t="shared" si="17"/>
        <v>0</v>
      </c>
      <c r="H166" s="128">
        <f t="shared" si="17"/>
        <v>0</v>
      </c>
    </row>
    <row r="167" spans="1:8" ht="48.6" hidden="1" customHeight="1" x14ac:dyDescent="0.2">
      <c r="A167" s="250" t="s">
        <v>678</v>
      </c>
      <c r="B167" s="127" t="s">
        <v>108</v>
      </c>
      <c r="C167" s="127" t="s">
        <v>703</v>
      </c>
      <c r="D167" s="127" t="s">
        <v>402</v>
      </c>
      <c r="E167" s="127" t="s">
        <v>679</v>
      </c>
      <c r="F167" s="357"/>
      <c r="G167" s="128"/>
      <c r="H167" s="128"/>
    </row>
    <row r="168" spans="1:8" ht="34.9" customHeight="1" x14ac:dyDescent="0.2">
      <c r="A168" s="258" t="s">
        <v>474</v>
      </c>
      <c r="B168" s="135" t="s">
        <v>108</v>
      </c>
      <c r="C168" s="135" t="s">
        <v>703</v>
      </c>
      <c r="D168" s="135" t="s">
        <v>475</v>
      </c>
      <c r="E168" s="135" t="s">
        <v>222</v>
      </c>
      <c r="F168" s="148">
        <f t="shared" ref="F168:H169" si="18">F169</f>
        <v>49.674999999999997</v>
      </c>
      <c r="G168" s="136">
        <f t="shared" si="18"/>
        <v>0</v>
      </c>
      <c r="H168" s="136">
        <f t="shared" si="18"/>
        <v>0</v>
      </c>
    </row>
    <row r="169" spans="1:8" ht="36.6" customHeight="1" x14ac:dyDescent="0.2">
      <c r="A169" s="250" t="s">
        <v>676</v>
      </c>
      <c r="B169" s="127" t="s">
        <v>108</v>
      </c>
      <c r="C169" s="127" t="s">
        <v>703</v>
      </c>
      <c r="D169" s="127" t="s">
        <v>475</v>
      </c>
      <c r="E169" s="127" t="s">
        <v>677</v>
      </c>
      <c r="F169" s="357">
        <f t="shared" si="18"/>
        <v>49.674999999999997</v>
      </c>
      <c r="G169" s="128">
        <f t="shared" si="18"/>
        <v>0</v>
      </c>
      <c r="H169" s="128">
        <f t="shared" si="18"/>
        <v>0</v>
      </c>
    </row>
    <row r="170" spans="1:8" ht="49.15" customHeight="1" x14ac:dyDescent="0.2">
      <c r="A170" s="250" t="s">
        <v>678</v>
      </c>
      <c r="B170" s="127" t="s">
        <v>108</v>
      </c>
      <c r="C170" s="127" t="s">
        <v>703</v>
      </c>
      <c r="D170" s="127" t="s">
        <v>475</v>
      </c>
      <c r="E170" s="127" t="s">
        <v>679</v>
      </c>
      <c r="F170" s="357">
        <f>'5'!D301</f>
        <v>49.674999999999997</v>
      </c>
      <c r="G170" s="128">
        <v>0</v>
      </c>
      <c r="H170" s="128">
        <v>0</v>
      </c>
    </row>
    <row r="171" spans="1:8" ht="81" hidden="1" customHeight="1" x14ac:dyDescent="0.2">
      <c r="A171" s="251" t="s">
        <v>525</v>
      </c>
      <c r="B171" s="8" t="s">
        <v>108</v>
      </c>
      <c r="C171" s="8" t="s">
        <v>703</v>
      </c>
      <c r="D171" s="8" t="s">
        <v>526</v>
      </c>
      <c r="E171" s="8" t="s">
        <v>222</v>
      </c>
      <c r="F171" s="131">
        <f t="shared" ref="F171:H172" si="19">F172</f>
        <v>0</v>
      </c>
      <c r="G171" s="129">
        <f t="shared" si="19"/>
        <v>0</v>
      </c>
      <c r="H171" s="129">
        <f t="shared" si="19"/>
        <v>0</v>
      </c>
    </row>
    <row r="172" spans="1:8" ht="49.15" hidden="1" customHeight="1" x14ac:dyDescent="0.2">
      <c r="A172" s="250" t="s">
        <v>676</v>
      </c>
      <c r="B172" s="127" t="s">
        <v>108</v>
      </c>
      <c r="C172" s="127" t="s">
        <v>703</v>
      </c>
      <c r="D172" s="127" t="s">
        <v>526</v>
      </c>
      <c r="E172" s="127" t="s">
        <v>677</v>
      </c>
      <c r="F172" s="357">
        <f t="shared" si="19"/>
        <v>0</v>
      </c>
      <c r="G172" s="128">
        <f t="shared" si="19"/>
        <v>0</v>
      </c>
      <c r="H172" s="128">
        <f t="shared" si="19"/>
        <v>0</v>
      </c>
    </row>
    <row r="173" spans="1:8" ht="49.15" hidden="1" customHeight="1" x14ac:dyDescent="0.2">
      <c r="A173" s="250" t="s">
        <v>678</v>
      </c>
      <c r="B173" s="127" t="s">
        <v>108</v>
      </c>
      <c r="C173" s="127" t="s">
        <v>703</v>
      </c>
      <c r="D173" s="127" t="s">
        <v>526</v>
      </c>
      <c r="E173" s="127" t="s">
        <v>679</v>
      </c>
      <c r="F173" s="357"/>
      <c r="G173" s="128"/>
      <c r="H173" s="128"/>
    </row>
    <row r="174" spans="1:8" ht="66" customHeight="1" x14ac:dyDescent="0.2">
      <c r="A174" s="251" t="s">
        <v>527</v>
      </c>
      <c r="B174" s="8" t="s">
        <v>108</v>
      </c>
      <c r="C174" s="8" t="s">
        <v>703</v>
      </c>
      <c r="D174" s="8" t="s">
        <v>528</v>
      </c>
      <c r="E174" s="8" t="s">
        <v>222</v>
      </c>
      <c r="F174" s="131">
        <f t="shared" ref="F174:H175" si="20">F175</f>
        <v>980</v>
      </c>
      <c r="G174" s="129">
        <f t="shared" si="20"/>
        <v>450</v>
      </c>
      <c r="H174" s="129">
        <f t="shared" si="20"/>
        <v>450</v>
      </c>
    </row>
    <row r="175" spans="1:8" ht="40.15" customHeight="1" x14ac:dyDescent="0.2">
      <c r="A175" s="250" t="s">
        <v>676</v>
      </c>
      <c r="B175" s="127" t="s">
        <v>108</v>
      </c>
      <c r="C175" s="127" t="s">
        <v>703</v>
      </c>
      <c r="D175" s="127" t="s">
        <v>528</v>
      </c>
      <c r="E175" s="127" t="s">
        <v>677</v>
      </c>
      <c r="F175" s="128">
        <f t="shared" si="20"/>
        <v>980</v>
      </c>
      <c r="G175" s="128">
        <f t="shared" si="20"/>
        <v>450</v>
      </c>
      <c r="H175" s="128">
        <f t="shared" si="20"/>
        <v>450</v>
      </c>
    </row>
    <row r="176" spans="1:8" ht="49.15" customHeight="1" x14ac:dyDescent="0.2">
      <c r="A176" s="250" t="s">
        <v>678</v>
      </c>
      <c r="B176" s="127" t="s">
        <v>108</v>
      </c>
      <c r="C176" s="127" t="s">
        <v>703</v>
      </c>
      <c r="D176" s="127" t="s">
        <v>528</v>
      </c>
      <c r="E176" s="127" t="s">
        <v>679</v>
      </c>
      <c r="F176" s="357">
        <f>'5'!D302</f>
        <v>980</v>
      </c>
      <c r="G176" s="357">
        <f>'5'!E302</f>
        <v>450</v>
      </c>
      <c r="H176" s="357">
        <f>'5'!F302</f>
        <v>450</v>
      </c>
    </row>
    <row r="177" spans="1:8" ht="49.15" hidden="1" customHeight="1" x14ac:dyDescent="0.2">
      <c r="A177" s="256" t="s">
        <v>603</v>
      </c>
      <c r="B177" s="147" t="s">
        <v>108</v>
      </c>
      <c r="C177" s="147" t="s">
        <v>703</v>
      </c>
      <c r="D177" s="147" t="s">
        <v>602</v>
      </c>
      <c r="E177" s="147" t="s">
        <v>222</v>
      </c>
      <c r="F177" s="131">
        <f t="shared" ref="F177:H178" si="21">F178</f>
        <v>0</v>
      </c>
      <c r="G177" s="131">
        <f t="shared" si="21"/>
        <v>0</v>
      </c>
      <c r="H177" s="131">
        <f t="shared" si="21"/>
        <v>0</v>
      </c>
    </row>
    <row r="178" spans="1:8" ht="42" hidden="1" customHeight="1" x14ac:dyDescent="0.2">
      <c r="A178" s="257" t="s">
        <v>676</v>
      </c>
      <c r="B178" s="133" t="s">
        <v>108</v>
      </c>
      <c r="C178" s="133" t="s">
        <v>703</v>
      </c>
      <c r="D178" s="133" t="s">
        <v>602</v>
      </c>
      <c r="E178" s="133" t="s">
        <v>677</v>
      </c>
      <c r="F178" s="357">
        <f t="shared" si="21"/>
        <v>0</v>
      </c>
      <c r="G178" s="357">
        <f t="shared" si="21"/>
        <v>0</v>
      </c>
      <c r="H178" s="357">
        <f t="shared" si="21"/>
        <v>0</v>
      </c>
    </row>
    <row r="179" spans="1:8" ht="49.15" hidden="1" customHeight="1" x14ac:dyDescent="0.2">
      <c r="A179" s="257" t="s">
        <v>678</v>
      </c>
      <c r="B179" s="133" t="s">
        <v>108</v>
      </c>
      <c r="C179" s="133" t="s">
        <v>703</v>
      </c>
      <c r="D179" s="133" t="s">
        <v>602</v>
      </c>
      <c r="E179" s="133" t="s">
        <v>679</v>
      </c>
      <c r="F179" s="357"/>
      <c r="G179" s="357"/>
      <c r="H179" s="357"/>
    </row>
    <row r="180" spans="1:8" s="130" customFormat="1" ht="50.25" customHeight="1" x14ac:dyDescent="0.2">
      <c r="A180" s="251" t="s">
        <v>724</v>
      </c>
      <c r="B180" s="8" t="s">
        <v>108</v>
      </c>
      <c r="C180" s="8" t="s">
        <v>703</v>
      </c>
      <c r="D180" s="8" t="s">
        <v>22</v>
      </c>
      <c r="E180" s="8" t="s">
        <v>222</v>
      </c>
      <c r="F180" s="129">
        <f>F181+F184+F192+F195</f>
        <v>93</v>
      </c>
      <c r="G180" s="129">
        <f>G181+G184+G192+G195</f>
        <v>120</v>
      </c>
      <c r="H180" s="129">
        <f>H181+H184+H192+H195</f>
        <v>120</v>
      </c>
    </row>
    <row r="181" spans="1:8" s="149" customFormat="1" ht="35.25" hidden="1" customHeight="1" x14ac:dyDescent="0.2">
      <c r="A181" s="259" t="s">
        <v>725</v>
      </c>
      <c r="B181" s="127" t="s">
        <v>108</v>
      </c>
      <c r="C181" s="127" t="s">
        <v>703</v>
      </c>
      <c r="D181" s="141" t="s">
        <v>23</v>
      </c>
      <c r="E181" s="127" t="s">
        <v>222</v>
      </c>
      <c r="F181" s="128">
        <f t="shared" ref="F181:H182" si="22">F182</f>
        <v>0</v>
      </c>
      <c r="G181" s="128">
        <f t="shared" si="22"/>
        <v>0</v>
      </c>
      <c r="H181" s="128">
        <f t="shared" si="22"/>
        <v>0</v>
      </c>
    </row>
    <row r="182" spans="1:8" ht="39" hidden="1" customHeight="1" x14ac:dyDescent="0.2">
      <c r="A182" s="250" t="s">
        <v>676</v>
      </c>
      <c r="B182" s="127" t="s">
        <v>108</v>
      </c>
      <c r="C182" s="127" t="s">
        <v>703</v>
      </c>
      <c r="D182" s="141" t="s">
        <v>726</v>
      </c>
      <c r="E182" s="127" t="s">
        <v>677</v>
      </c>
      <c r="F182" s="128">
        <f t="shared" si="22"/>
        <v>0</v>
      </c>
      <c r="G182" s="128">
        <f t="shared" si="22"/>
        <v>0</v>
      </c>
      <c r="H182" s="128">
        <f t="shared" si="22"/>
        <v>0</v>
      </c>
    </row>
    <row r="183" spans="1:8" ht="47.25" hidden="1" customHeight="1" x14ac:dyDescent="0.2">
      <c r="A183" s="250" t="s">
        <v>678</v>
      </c>
      <c r="B183" s="127" t="s">
        <v>108</v>
      </c>
      <c r="C183" s="127" t="s">
        <v>703</v>
      </c>
      <c r="D183" s="141" t="s">
        <v>24</v>
      </c>
      <c r="E183" s="127" t="s">
        <v>679</v>
      </c>
      <c r="F183" s="128"/>
      <c r="G183" s="128"/>
      <c r="H183" s="128"/>
    </row>
    <row r="184" spans="1:8" ht="36" hidden="1" customHeight="1" x14ac:dyDescent="0.2">
      <c r="A184" s="259" t="s">
        <v>168</v>
      </c>
      <c r="B184" s="127" t="s">
        <v>108</v>
      </c>
      <c r="C184" s="127" t="s">
        <v>703</v>
      </c>
      <c r="D184" s="141" t="s">
        <v>35</v>
      </c>
      <c r="E184" s="127" t="s">
        <v>222</v>
      </c>
      <c r="F184" s="128">
        <f t="shared" ref="F184:H187" si="23">F185</f>
        <v>0</v>
      </c>
      <c r="G184" s="128">
        <f t="shared" si="23"/>
        <v>0</v>
      </c>
      <c r="H184" s="128">
        <f t="shared" si="23"/>
        <v>0</v>
      </c>
    </row>
    <row r="185" spans="1:8" ht="64.150000000000006" hidden="1" customHeight="1" x14ac:dyDescent="0.2">
      <c r="A185" s="251" t="s">
        <v>727</v>
      </c>
      <c r="B185" s="8" t="s">
        <v>108</v>
      </c>
      <c r="C185" s="8" t="s">
        <v>703</v>
      </c>
      <c r="D185" s="8" t="s">
        <v>666</v>
      </c>
      <c r="E185" s="8" t="s">
        <v>222</v>
      </c>
      <c r="F185" s="129">
        <f>F186+F189</f>
        <v>0</v>
      </c>
      <c r="G185" s="129">
        <f>G186+G189</f>
        <v>0</v>
      </c>
      <c r="H185" s="129">
        <f>H186+H189</f>
        <v>0</v>
      </c>
    </row>
    <row r="186" spans="1:8" ht="90" hidden="1" customHeight="1" x14ac:dyDescent="0.2">
      <c r="A186" s="250" t="s">
        <v>728</v>
      </c>
      <c r="B186" s="127" t="s">
        <v>108</v>
      </c>
      <c r="C186" s="127" t="s">
        <v>703</v>
      </c>
      <c r="D186" s="127" t="s">
        <v>377</v>
      </c>
      <c r="E186" s="127" t="s">
        <v>222</v>
      </c>
      <c r="F186" s="128">
        <f t="shared" si="23"/>
        <v>0</v>
      </c>
      <c r="G186" s="128">
        <f t="shared" si="23"/>
        <v>0</v>
      </c>
      <c r="H186" s="128">
        <f t="shared" si="23"/>
        <v>0</v>
      </c>
    </row>
    <row r="187" spans="1:8" ht="49.5" hidden="1" customHeight="1" x14ac:dyDescent="0.2">
      <c r="A187" s="250" t="s">
        <v>729</v>
      </c>
      <c r="B187" s="127" t="s">
        <v>108</v>
      </c>
      <c r="C187" s="127" t="s">
        <v>703</v>
      </c>
      <c r="D187" s="127" t="s">
        <v>377</v>
      </c>
      <c r="E187" s="127" t="s">
        <v>730</v>
      </c>
      <c r="F187" s="128">
        <f t="shared" si="23"/>
        <v>0</v>
      </c>
      <c r="G187" s="128">
        <f t="shared" si="23"/>
        <v>0</v>
      </c>
      <c r="H187" s="128">
        <f t="shared" si="23"/>
        <v>0</v>
      </c>
    </row>
    <row r="188" spans="1:8" ht="16.899999999999999" hidden="1" customHeight="1" x14ac:dyDescent="0.2">
      <c r="A188" s="250" t="s">
        <v>731</v>
      </c>
      <c r="B188" s="127" t="s">
        <v>108</v>
      </c>
      <c r="C188" s="127" t="s">
        <v>703</v>
      </c>
      <c r="D188" s="127" t="s">
        <v>377</v>
      </c>
      <c r="E188" s="127" t="s">
        <v>732</v>
      </c>
      <c r="F188" s="128"/>
      <c r="G188" s="128"/>
      <c r="H188" s="128"/>
    </row>
    <row r="189" spans="1:8" ht="96.6" hidden="1" customHeight="1" x14ac:dyDescent="0.2">
      <c r="A189" s="250" t="s">
        <v>733</v>
      </c>
      <c r="B189" s="127" t="s">
        <v>108</v>
      </c>
      <c r="C189" s="127" t="s">
        <v>703</v>
      </c>
      <c r="D189" s="133" t="s">
        <v>578</v>
      </c>
      <c r="E189" s="133" t="s">
        <v>222</v>
      </c>
      <c r="F189" s="128">
        <f t="shared" ref="F189:H190" si="24">F190</f>
        <v>0</v>
      </c>
      <c r="G189" s="128">
        <f t="shared" si="24"/>
        <v>0</v>
      </c>
      <c r="H189" s="128">
        <f t="shared" si="24"/>
        <v>0</v>
      </c>
    </row>
    <row r="190" spans="1:8" ht="50.25" hidden="1" customHeight="1" x14ac:dyDescent="0.2">
      <c r="A190" s="250" t="s">
        <v>729</v>
      </c>
      <c r="B190" s="127" t="s">
        <v>108</v>
      </c>
      <c r="C190" s="127" t="s">
        <v>703</v>
      </c>
      <c r="D190" s="133" t="s">
        <v>578</v>
      </c>
      <c r="E190" s="133" t="s">
        <v>730</v>
      </c>
      <c r="F190" s="128">
        <f t="shared" si="24"/>
        <v>0</v>
      </c>
      <c r="G190" s="128">
        <f t="shared" si="24"/>
        <v>0</v>
      </c>
      <c r="H190" s="128">
        <f t="shared" si="24"/>
        <v>0</v>
      </c>
    </row>
    <row r="191" spans="1:8" ht="18" hidden="1" customHeight="1" x14ac:dyDescent="0.2">
      <c r="A191" s="250" t="s">
        <v>731</v>
      </c>
      <c r="B191" s="127" t="s">
        <v>108</v>
      </c>
      <c r="C191" s="127" t="s">
        <v>703</v>
      </c>
      <c r="D191" s="133" t="s">
        <v>578</v>
      </c>
      <c r="E191" s="133" t="s">
        <v>732</v>
      </c>
      <c r="F191" s="357"/>
      <c r="G191" s="128">
        <v>0</v>
      </c>
      <c r="H191" s="128">
        <v>0</v>
      </c>
    </row>
    <row r="192" spans="1:8" ht="92.65" hidden="1" customHeight="1" x14ac:dyDescent="0.2">
      <c r="A192" s="251" t="s">
        <v>384</v>
      </c>
      <c r="B192" s="8" t="s">
        <v>108</v>
      </c>
      <c r="C192" s="8" t="s">
        <v>703</v>
      </c>
      <c r="D192" s="8" t="s">
        <v>378</v>
      </c>
      <c r="E192" s="8" t="s">
        <v>222</v>
      </c>
      <c r="F192" s="129">
        <f t="shared" ref="F192:H193" si="25">F193</f>
        <v>0</v>
      </c>
      <c r="G192" s="129">
        <f t="shared" si="25"/>
        <v>0</v>
      </c>
      <c r="H192" s="129">
        <f t="shared" si="25"/>
        <v>0</v>
      </c>
    </row>
    <row r="193" spans="1:8" ht="36.6" hidden="1" customHeight="1" x14ac:dyDescent="0.2">
      <c r="A193" s="250" t="s">
        <v>676</v>
      </c>
      <c r="B193" s="127" t="s">
        <v>108</v>
      </c>
      <c r="C193" s="127" t="s">
        <v>703</v>
      </c>
      <c r="D193" s="127" t="s">
        <v>378</v>
      </c>
      <c r="E193" s="127" t="s">
        <v>677</v>
      </c>
      <c r="F193" s="128">
        <f t="shared" si="25"/>
        <v>0</v>
      </c>
      <c r="G193" s="128">
        <f t="shared" si="25"/>
        <v>0</v>
      </c>
      <c r="H193" s="128">
        <f t="shared" si="25"/>
        <v>0</v>
      </c>
    </row>
    <row r="194" spans="1:8" ht="50.65" hidden="1" customHeight="1" x14ac:dyDescent="0.2">
      <c r="A194" s="250" t="s">
        <v>678</v>
      </c>
      <c r="B194" s="127" t="s">
        <v>108</v>
      </c>
      <c r="C194" s="127" t="s">
        <v>703</v>
      </c>
      <c r="D194" s="127" t="s">
        <v>378</v>
      </c>
      <c r="E194" s="127" t="s">
        <v>679</v>
      </c>
      <c r="F194" s="128"/>
      <c r="G194" s="128"/>
      <c r="H194" s="128"/>
    </row>
    <row r="195" spans="1:8" ht="36" customHeight="1" x14ac:dyDescent="0.2">
      <c r="A195" s="259" t="s">
        <v>734</v>
      </c>
      <c r="B195" s="127" t="s">
        <v>108</v>
      </c>
      <c r="C195" s="127" t="s">
        <v>703</v>
      </c>
      <c r="D195" s="127" t="s">
        <v>25</v>
      </c>
      <c r="E195" s="127" t="s">
        <v>222</v>
      </c>
      <c r="F195" s="128">
        <f t="shared" ref="F195:H196" si="26">F196</f>
        <v>93</v>
      </c>
      <c r="G195" s="128">
        <f t="shared" si="26"/>
        <v>120</v>
      </c>
      <c r="H195" s="128">
        <f t="shared" si="26"/>
        <v>120</v>
      </c>
    </row>
    <row r="196" spans="1:8" ht="34.5" customHeight="1" x14ac:dyDescent="0.2">
      <c r="A196" s="250" t="s">
        <v>676</v>
      </c>
      <c r="B196" s="127" t="s">
        <v>108</v>
      </c>
      <c r="C196" s="127" t="s">
        <v>703</v>
      </c>
      <c r="D196" s="127" t="s">
        <v>379</v>
      </c>
      <c r="E196" s="127" t="s">
        <v>677</v>
      </c>
      <c r="F196" s="128">
        <f t="shared" si="26"/>
        <v>93</v>
      </c>
      <c r="G196" s="128">
        <f t="shared" si="26"/>
        <v>120</v>
      </c>
      <c r="H196" s="128">
        <f t="shared" si="26"/>
        <v>120</v>
      </c>
    </row>
    <row r="197" spans="1:8" ht="48" customHeight="1" x14ac:dyDescent="0.2">
      <c r="A197" s="250" t="s">
        <v>678</v>
      </c>
      <c r="B197" s="127" t="s">
        <v>108</v>
      </c>
      <c r="C197" s="127" t="s">
        <v>703</v>
      </c>
      <c r="D197" s="127" t="s">
        <v>379</v>
      </c>
      <c r="E197" s="127" t="s">
        <v>679</v>
      </c>
      <c r="F197" s="357">
        <f>'5'!D100</f>
        <v>93</v>
      </c>
      <c r="G197" s="128">
        <f>'5'!E100</f>
        <v>120</v>
      </c>
      <c r="H197" s="128">
        <f>'5'!F100</f>
        <v>120</v>
      </c>
    </row>
    <row r="198" spans="1:8" s="130" customFormat="1" ht="82.5" customHeight="1" x14ac:dyDescent="0.2">
      <c r="A198" s="256" t="s">
        <v>596</v>
      </c>
      <c r="B198" s="147" t="s">
        <v>108</v>
      </c>
      <c r="C198" s="147" t="s">
        <v>703</v>
      </c>
      <c r="D198" s="147" t="s">
        <v>26</v>
      </c>
      <c r="E198" s="147" t="s">
        <v>222</v>
      </c>
      <c r="F198" s="131">
        <f t="shared" ref="F198:H199" si="27">F199</f>
        <v>35</v>
      </c>
      <c r="G198" s="131">
        <f t="shared" si="27"/>
        <v>39</v>
      </c>
      <c r="H198" s="131">
        <f t="shared" si="27"/>
        <v>39</v>
      </c>
    </row>
    <row r="199" spans="1:8" ht="35.25" customHeight="1" x14ac:dyDescent="0.2">
      <c r="A199" s="257" t="s">
        <v>676</v>
      </c>
      <c r="B199" s="133" t="s">
        <v>108</v>
      </c>
      <c r="C199" s="133" t="s">
        <v>703</v>
      </c>
      <c r="D199" s="133" t="s">
        <v>735</v>
      </c>
      <c r="E199" s="133" t="s">
        <v>677</v>
      </c>
      <c r="F199" s="357">
        <f t="shared" si="27"/>
        <v>35</v>
      </c>
      <c r="G199" s="357">
        <f t="shared" si="27"/>
        <v>39</v>
      </c>
      <c r="H199" s="357">
        <f t="shared" si="27"/>
        <v>39</v>
      </c>
    </row>
    <row r="200" spans="1:8" ht="50.25" customHeight="1" x14ac:dyDescent="0.2">
      <c r="A200" s="257" t="s">
        <v>678</v>
      </c>
      <c r="B200" s="133" t="s">
        <v>108</v>
      </c>
      <c r="C200" s="133" t="s">
        <v>703</v>
      </c>
      <c r="D200" s="133" t="s">
        <v>27</v>
      </c>
      <c r="E200" s="133" t="s">
        <v>679</v>
      </c>
      <c r="F200" s="357">
        <f>'5'!D118</f>
        <v>35</v>
      </c>
      <c r="G200" s="357">
        <f>'5'!E118</f>
        <v>39</v>
      </c>
      <c r="H200" s="357">
        <f>'5'!F118</f>
        <v>39</v>
      </c>
    </row>
    <row r="201" spans="1:8" s="130" customFormat="1" ht="48.75" hidden="1" customHeight="1" x14ac:dyDescent="0.2">
      <c r="A201" s="251" t="s">
        <v>736</v>
      </c>
      <c r="B201" s="8" t="s">
        <v>108</v>
      </c>
      <c r="C201" s="8" t="s">
        <v>703</v>
      </c>
      <c r="D201" s="8" t="s">
        <v>28</v>
      </c>
      <c r="E201" s="8" t="s">
        <v>222</v>
      </c>
      <c r="F201" s="129">
        <f t="shared" ref="F201:H202" si="28">F202</f>
        <v>0</v>
      </c>
      <c r="G201" s="129">
        <f t="shared" si="28"/>
        <v>0</v>
      </c>
      <c r="H201" s="129">
        <f t="shared" si="28"/>
        <v>0</v>
      </c>
    </row>
    <row r="202" spans="1:8" ht="34.5" hidden="1" customHeight="1" x14ac:dyDescent="0.2">
      <c r="A202" s="250" t="s">
        <v>676</v>
      </c>
      <c r="B202" s="127" t="s">
        <v>108</v>
      </c>
      <c r="C202" s="127" t="s">
        <v>703</v>
      </c>
      <c r="D202" s="127" t="s">
        <v>737</v>
      </c>
      <c r="E202" s="127" t="s">
        <v>677</v>
      </c>
      <c r="F202" s="128">
        <f t="shared" si="28"/>
        <v>0</v>
      </c>
      <c r="G202" s="128">
        <f t="shared" si="28"/>
        <v>0</v>
      </c>
      <c r="H202" s="128">
        <f t="shared" si="28"/>
        <v>0</v>
      </c>
    </row>
    <row r="203" spans="1:8" ht="49.5" hidden="1" customHeight="1" x14ac:dyDescent="0.2">
      <c r="A203" s="250" t="s">
        <v>678</v>
      </c>
      <c r="B203" s="127" t="s">
        <v>108</v>
      </c>
      <c r="C203" s="127" t="s">
        <v>703</v>
      </c>
      <c r="D203" s="127" t="s">
        <v>737</v>
      </c>
      <c r="E203" s="127" t="s">
        <v>679</v>
      </c>
      <c r="F203" s="128"/>
      <c r="G203" s="128"/>
      <c r="H203" s="128"/>
    </row>
    <row r="204" spans="1:8" ht="83.25" customHeight="1" x14ac:dyDescent="0.2">
      <c r="A204" s="251" t="s">
        <v>577</v>
      </c>
      <c r="B204" s="8" t="s">
        <v>108</v>
      </c>
      <c r="C204" s="8" t="s">
        <v>703</v>
      </c>
      <c r="D204" s="8" t="s">
        <v>308</v>
      </c>
      <c r="E204" s="8" t="s">
        <v>222</v>
      </c>
      <c r="F204" s="129">
        <f t="shared" ref="F204:H205" si="29">F205</f>
        <v>20</v>
      </c>
      <c r="G204" s="129">
        <f t="shared" si="29"/>
        <v>20</v>
      </c>
      <c r="H204" s="129">
        <f t="shared" si="29"/>
        <v>0</v>
      </c>
    </row>
    <row r="205" spans="1:8" ht="64.5" customHeight="1" x14ac:dyDescent="0.2">
      <c r="A205" s="250" t="s">
        <v>309</v>
      </c>
      <c r="B205" s="127" t="s">
        <v>108</v>
      </c>
      <c r="C205" s="127" t="s">
        <v>703</v>
      </c>
      <c r="D205" s="127" t="s">
        <v>310</v>
      </c>
      <c r="E205" s="127" t="s">
        <v>677</v>
      </c>
      <c r="F205" s="128">
        <f t="shared" si="29"/>
        <v>20</v>
      </c>
      <c r="G205" s="128">
        <f t="shared" si="29"/>
        <v>20</v>
      </c>
      <c r="H205" s="128">
        <f t="shared" si="29"/>
        <v>0</v>
      </c>
    </row>
    <row r="206" spans="1:8" ht="36" customHeight="1" x14ac:dyDescent="0.2">
      <c r="A206" s="250" t="s">
        <v>738</v>
      </c>
      <c r="B206" s="127" t="s">
        <v>108</v>
      </c>
      <c r="C206" s="127" t="s">
        <v>703</v>
      </c>
      <c r="D206" s="127" t="s">
        <v>311</v>
      </c>
      <c r="E206" s="127" t="s">
        <v>679</v>
      </c>
      <c r="F206" s="128">
        <f>'5'!D226</f>
        <v>20</v>
      </c>
      <c r="G206" s="128">
        <f>'5'!E226</f>
        <v>20</v>
      </c>
      <c r="H206" s="128">
        <f>'5'!F226</f>
        <v>0</v>
      </c>
    </row>
    <row r="207" spans="1:8" s="143" customFormat="1" ht="20.65" hidden="1" customHeight="1" x14ac:dyDescent="0.25">
      <c r="A207" s="252" t="s">
        <v>739</v>
      </c>
      <c r="B207" s="145" t="s">
        <v>668</v>
      </c>
      <c r="C207" s="145" t="s">
        <v>109</v>
      </c>
      <c r="D207" s="145" t="s">
        <v>666</v>
      </c>
      <c r="E207" s="145" t="s">
        <v>222</v>
      </c>
      <c r="F207" s="146">
        <f>F208</f>
        <v>0</v>
      </c>
      <c r="G207" s="146">
        <f>G208</f>
        <v>0</v>
      </c>
      <c r="H207" s="146">
        <f>H208</f>
        <v>0</v>
      </c>
    </row>
    <row r="208" spans="1:8" ht="17.25" hidden="1" customHeight="1" x14ac:dyDescent="0.2">
      <c r="A208" s="250" t="s">
        <v>740</v>
      </c>
      <c r="B208" s="127" t="s">
        <v>668</v>
      </c>
      <c r="C208" s="127" t="s">
        <v>109</v>
      </c>
      <c r="D208" s="127" t="s">
        <v>666</v>
      </c>
      <c r="E208" s="127" t="s">
        <v>222</v>
      </c>
      <c r="F208" s="128">
        <f t="shared" ref="F208:H210" si="30">F210</f>
        <v>0</v>
      </c>
      <c r="G208" s="128">
        <f t="shared" si="30"/>
        <v>0</v>
      </c>
      <c r="H208" s="128">
        <f t="shared" si="30"/>
        <v>0</v>
      </c>
    </row>
    <row r="209" spans="1:8" ht="79.5" hidden="1" customHeight="1" x14ac:dyDescent="0.2">
      <c r="A209" s="251" t="s">
        <v>741</v>
      </c>
      <c r="B209" s="127" t="s">
        <v>668</v>
      </c>
      <c r="C209" s="127" t="s">
        <v>109</v>
      </c>
      <c r="D209" s="8" t="s">
        <v>286</v>
      </c>
      <c r="E209" s="8" t="s">
        <v>222</v>
      </c>
      <c r="F209" s="129">
        <f t="shared" si="30"/>
        <v>0</v>
      </c>
      <c r="G209" s="129">
        <f t="shared" si="30"/>
        <v>0</v>
      </c>
      <c r="H209" s="129">
        <f t="shared" si="30"/>
        <v>0</v>
      </c>
    </row>
    <row r="210" spans="1:8" ht="48.75" hidden="1" customHeight="1" x14ac:dyDescent="0.2">
      <c r="A210" s="250" t="s">
        <v>742</v>
      </c>
      <c r="B210" s="127" t="s">
        <v>668</v>
      </c>
      <c r="C210" s="127" t="s">
        <v>109</v>
      </c>
      <c r="D210" s="127" t="s">
        <v>283</v>
      </c>
      <c r="E210" s="127" t="s">
        <v>222</v>
      </c>
      <c r="F210" s="128">
        <f t="shared" si="30"/>
        <v>0</v>
      </c>
      <c r="G210" s="128">
        <f t="shared" si="30"/>
        <v>0</v>
      </c>
      <c r="H210" s="128">
        <f t="shared" si="30"/>
        <v>0</v>
      </c>
    </row>
    <row r="211" spans="1:8" ht="21" hidden="1" customHeight="1" x14ac:dyDescent="0.2">
      <c r="A211" s="250" t="s">
        <v>743</v>
      </c>
      <c r="B211" s="127" t="s">
        <v>668</v>
      </c>
      <c r="C211" s="127" t="s">
        <v>109</v>
      </c>
      <c r="D211" s="127" t="s">
        <v>283</v>
      </c>
      <c r="E211" s="127" t="s">
        <v>744</v>
      </c>
      <c r="F211" s="128">
        <f>F212</f>
        <v>0</v>
      </c>
      <c r="G211" s="128">
        <f>G212</f>
        <v>0</v>
      </c>
      <c r="H211" s="128">
        <f>H212</f>
        <v>0</v>
      </c>
    </row>
    <row r="212" spans="1:8" ht="17.25" hidden="1" customHeight="1" x14ac:dyDescent="0.2">
      <c r="A212" s="250" t="s">
        <v>704</v>
      </c>
      <c r="B212" s="127" t="s">
        <v>668</v>
      </c>
      <c r="C212" s="127" t="s">
        <v>109</v>
      </c>
      <c r="D212" s="127" t="s">
        <v>283</v>
      </c>
      <c r="E212" s="127" t="s">
        <v>745</v>
      </c>
      <c r="F212" s="128"/>
      <c r="G212" s="128"/>
      <c r="H212" s="128"/>
    </row>
    <row r="213" spans="1:8" s="143" customFormat="1" ht="48" hidden="1" customHeight="1" x14ac:dyDescent="0.25">
      <c r="A213" s="252" t="s">
        <v>746</v>
      </c>
      <c r="B213" s="145" t="s">
        <v>111</v>
      </c>
      <c r="C213" s="145" t="s">
        <v>109</v>
      </c>
      <c r="D213" s="145" t="s">
        <v>666</v>
      </c>
      <c r="E213" s="145" t="s">
        <v>222</v>
      </c>
      <c r="F213" s="146">
        <f t="shared" ref="F213:H214" si="31">F214</f>
        <v>0</v>
      </c>
      <c r="G213" s="146">
        <f t="shared" si="31"/>
        <v>0</v>
      </c>
      <c r="H213" s="146">
        <f t="shared" si="31"/>
        <v>0</v>
      </c>
    </row>
    <row r="214" spans="1:8" ht="50.25" hidden="1" customHeight="1" x14ac:dyDescent="0.2">
      <c r="A214" s="250" t="s">
        <v>209</v>
      </c>
      <c r="B214" s="127" t="s">
        <v>111</v>
      </c>
      <c r="C214" s="127" t="s">
        <v>747</v>
      </c>
      <c r="D214" s="127" t="s">
        <v>14</v>
      </c>
      <c r="E214" s="127" t="s">
        <v>222</v>
      </c>
      <c r="F214" s="128">
        <f t="shared" si="31"/>
        <v>0</v>
      </c>
      <c r="G214" s="128">
        <f t="shared" si="31"/>
        <v>0</v>
      </c>
      <c r="H214" s="128">
        <f t="shared" si="31"/>
        <v>0</v>
      </c>
    </row>
    <row r="215" spans="1:8" ht="50.25" hidden="1" customHeight="1" x14ac:dyDescent="0.2">
      <c r="A215" s="250" t="s">
        <v>748</v>
      </c>
      <c r="B215" s="127" t="s">
        <v>111</v>
      </c>
      <c r="C215" s="127" t="s">
        <v>747</v>
      </c>
      <c r="D215" s="127" t="s">
        <v>14</v>
      </c>
      <c r="E215" s="127" t="s">
        <v>222</v>
      </c>
      <c r="F215" s="128">
        <f>F217</f>
        <v>0</v>
      </c>
      <c r="G215" s="128">
        <f>G217</f>
        <v>0</v>
      </c>
      <c r="H215" s="128">
        <f>H217</f>
        <v>0</v>
      </c>
    </row>
    <row r="216" spans="1:8" ht="33.75" hidden="1" customHeight="1" x14ac:dyDescent="0.2">
      <c r="A216" s="250" t="s">
        <v>676</v>
      </c>
      <c r="B216" s="127" t="s">
        <v>111</v>
      </c>
      <c r="C216" s="127" t="s">
        <v>747</v>
      </c>
      <c r="D216" s="127" t="s">
        <v>14</v>
      </c>
      <c r="E216" s="127" t="s">
        <v>677</v>
      </c>
      <c r="F216" s="128">
        <f>F217</f>
        <v>0</v>
      </c>
      <c r="G216" s="128">
        <f>G217</f>
        <v>0</v>
      </c>
      <c r="H216" s="128">
        <f>H217</f>
        <v>0</v>
      </c>
    </row>
    <row r="217" spans="1:8" ht="50.25" hidden="1" customHeight="1" x14ac:dyDescent="0.2">
      <c r="A217" s="250" t="s">
        <v>678</v>
      </c>
      <c r="B217" s="127" t="s">
        <v>111</v>
      </c>
      <c r="C217" s="127" t="s">
        <v>747</v>
      </c>
      <c r="D217" s="127" t="s">
        <v>14</v>
      </c>
      <c r="E217" s="127" t="s">
        <v>679</v>
      </c>
      <c r="F217" s="128"/>
      <c r="G217" s="128"/>
      <c r="H217" s="128"/>
    </row>
    <row r="218" spans="1:8" ht="62.65" hidden="1" customHeight="1" x14ac:dyDescent="0.2">
      <c r="A218" s="251" t="s">
        <v>749</v>
      </c>
      <c r="B218" s="8" t="s">
        <v>108</v>
      </c>
      <c r="C218" s="8" t="s">
        <v>703</v>
      </c>
      <c r="D218" s="8" t="s">
        <v>750</v>
      </c>
      <c r="E218" s="8" t="s">
        <v>222</v>
      </c>
      <c r="F218" s="129">
        <f t="shared" ref="F218:H219" si="32">F219</f>
        <v>0</v>
      </c>
      <c r="G218" s="129">
        <f t="shared" si="32"/>
        <v>0</v>
      </c>
      <c r="H218" s="129">
        <f t="shared" si="32"/>
        <v>0</v>
      </c>
    </row>
    <row r="219" spans="1:8" ht="97.9" hidden="1" customHeight="1" x14ac:dyDescent="0.2">
      <c r="A219" s="250" t="s">
        <v>670</v>
      </c>
      <c r="B219" s="127" t="s">
        <v>108</v>
      </c>
      <c r="C219" s="127" t="s">
        <v>703</v>
      </c>
      <c r="D219" s="127" t="s">
        <v>750</v>
      </c>
      <c r="E219" s="127" t="s">
        <v>671</v>
      </c>
      <c r="F219" s="128">
        <f t="shared" si="32"/>
        <v>0</v>
      </c>
      <c r="G219" s="128">
        <f t="shared" si="32"/>
        <v>0</v>
      </c>
      <c r="H219" s="128">
        <f t="shared" si="32"/>
        <v>0</v>
      </c>
    </row>
    <row r="220" spans="1:8" ht="37.9" hidden="1" customHeight="1" x14ac:dyDescent="0.2">
      <c r="A220" s="250" t="s">
        <v>672</v>
      </c>
      <c r="B220" s="127" t="s">
        <v>108</v>
      </c>
      <c r="C220" s="127" t="s">
        <v>703</v>
      </c>
      <c r="D220" s="127" t="s">
        <v>750</v>
      </c>
      <c r="E220" s="127" t="s">
        <v>673</v>
      </c>
      <c r="F220" s="128"/>
      <c r="G220" s="128"/>
      <c r="H220" s="128"/>
    </row>
    <row r="221" spans="1:8" ht="79.900000000000006" hidden="1" customHeight="1" x14ac:dyDescent="0.2">
      <c r="A221" s="251" t="s">
        <v>751</v>
      </c>
      <c r="B221" s="127" t="s">
        <v>108</v>
      </c>
      <c r="C221" s="127" t="s">
        <v>703</v>
      </c>
      <c r="D221" s="127" t="s">
        <v>752</v>
      </c>
      <c r="E221" s="127" t="s">
        <v>222</v>
      </c>
      <c r="F221" s="128">
        <f>F222+F224</f>
        <v>0</v>
      </c>
      <c r="G221" s="128">
        <f>G222+G224</f>
        <v>0</v>
      </c>
      <c r="H221" s="128">
        <f>H222+H224</f>
        <v>0</v>
      </c>
    </row>
    <row r="222" spans="1:8" ht="94.9" hidden="1" customHeight="1" x14ac:dyDescent="0.2">
      <c r="A222" s="250" t="s">
        <v>670</v>
      </c>
      <c r="B222" s="127" t="s">
        <v>108</v>
      </c>
      <c r="C222" s="127" t="s">
        <v>703</v>
      </c>
      <c r="D222" s="127" t="s">
        <v>752</v>
      </c>
      <c r="E222" s="127" t="s">
        <v>671</v>
      </c>
      <c r="F222" s="128">
        <f>F223</f>
        <v>0</v>
      </c>
      <c r="G222" s="128">
        <f>G223</f>
        <v>0</v>
      </c>
      <c r="H222" s="128">
        <f>H223</f>
        <v>0</v>
      </c>
    </row>
    <row r="223" spans="1:8" ht="33" hidden="1" customHeight="1" x14ac:dyDescent="0.2">
      <c r="A223" s="250" t="s">
        <v>672</v>
      </c>
      <c r="B223" s="127" t="s">
        <v>108</v>
      </c>
      <c r="C223" s="127" t="s">
        <v>703</v>
      </c>
      <c r="D223" s="127" t="s">
        <v>752</v>
      </c>
      <c r="E223" s="127" t="s">
        <v>673</v>
      </c>
      <c r="F223" s="128"/>
      <c r="G223" s="128"/>
      <c r="H223" s="128"/>
    </row>
    <row r="224" spans="1:8" ht="37.9" hidden="1" customHeight="1" x14ac:dyDescent="0.2">
      <c r="A224" s="250" t="s">
        <v>676</v>
      </c>
      <c r="B224" s="127" t="s">
        <v>108</v>
      </c>
      <c r="C224" s="127" t="s">
        <v>703</v>
      </c>
      <c r="D224" s="127" t="s">
        <v>752</v>
      </c>
      <c r="E224" s="127" t="s">
        <v>677</v>
      </c>
      <c r="F224" s="128">
        <f>F225</f>
        <v>0</v>
      </c>
      <c r="G224" s="128">
        <f>G225</f>
        <v>0</v>
      </c>
      <c r="H224" s="128">
        <f>H225</f>
        <v>0</v>
      </c>
    </row>
    <row r="225" spans="1:8" ht="48" hidden="1" customHeight="1" x14ac:dyDescent="0.2">
      <c r="A225" s="250" t="s">
        <v>678</v>
      </c>
      <c r="B225" s="127" t="s">
        <v>108</v>
      </c>
      <c r="C225" s="127" t="s">
        <v>703</v>
      </c>
      <c r="D225" s="127" t="s">
        <v>752</v>
      </c>
      <c r="E225" s="127" t="s">
        <v>679</v>
      </c>
      <c r="F225" s="128"/>
      <c r="G225" s="128"/>
      <c r="H225" s="128"/>
    </row>
    <row r="226" spans="1:8" ht="96" hidden="1" customHeight="1" x14ac:dyDescent="0.2">
      <c r="A226" s="251" t="s">
        <v>405</v>
      </c>
      <c r="B226" s="127" t="s">
        <v>108</v>
      </c>
      <c r="C226" s="127" t="s">
        <v>703</v>
      </c>
      <c r="D226" s="8" t="s">
        <v>406</v>
      </c>
      <c r="E226" s="8" t="s">
        <v>222</v>
      </c>
      <c r="F226" s="129">
        <f t="shared" ref="F226:H227" si="33">F227</f>
        <v>0</v>
      </c>
      <c r="G226" s="129">
        <f t="shared" si="33"/>
        <v>0</v>
      </c>
      <c r="H226" s="129">
        <f t="shared" si="33"/>
        <v>0</v>
      </c>
    </row>
    <row r="227" spans="1:8" ht="31.9" hidden="1" customHeight="1" x14ac:dyDescent="0.2">
      <c r="A227" s="250" t="s">
        <v>676</v>
      </c>
      <c r="B227" s="127" t="s">
        <v>108</v>
      </c>
      <c r="C227" s="127" t="s">
        <v>703</v>
      </c>
      <c r="D227" s="127" t="s">
        <v>406</v>
      </c>
      <c r="E227" s="127" t="s">
        <v>677</v>
      </c>
      <c r="F227" s="128">
        <f t="shared" si="33"/>
        <v>0</v>
      </c>
      <c r="G227" s="128">
        <f t="shared" si="33"/>
        <v>0</v>
      </c>
      <c r="H227" s="128">
        <f t="shared" si="33"/>
        <v>0</v>
      </c>
    </row>
    <row r="228" spans="1:8" ht="48" hidden="1" customHeight="1" x14ac:dyDescent="0.2">
      <c r="A228" s="250" t="s">
        <v>678</v>
      </c>
      <c r="B228" s="127" t="s">
        <v>108</v>
      </c>
      <c r="C228" s="127" t="s">
        <v>703</v>
      </c>
      <c r="D228" s="127" t="s">
        <v>406</v>
      </c>
      <c r="E228" s="127" t="s">
        <v>679</v>
      </c>
      <c r="F228" s="128"/>
      <c r="G228" s="128"/>
      <c r="H228" s="128"/>
    </row>
    <row r="229" spans="1:8" ht="81.75" customHeight="1" x14ac:dyDescent="0.2">
      <c r="A229" s="256" t="s">
        <v>591</v>
      </c>
      <c r="B229" s="147" t="s">
        <v>108</v>
      </c>
      <c r="C229" s="147" t="s">
        <v>703</v>
      </c>
      <c r="D229" s="147" t="s">
        <v>753</v>
      </c>
      <c r="E229" s="147" t="s">
        <v>222</v>
      </c>
      <c r="F229" s="131">
        <f t="shared" ref="F229:H230" si="34">F230</f>
        <v>15</v>
      </c>
      <c r="G229" s="131">
        <f t="shared" si="34"/>
        <v>0</v>
      </c>
      <c r="H229" s="131">
        <f t="shared" si="34"/>
        <v>0</v>
      </c>
    </row>
    <row r="230" spans="1:8" ht="33" customHeight="1" x14ac:dyDescent="0.2">
      <c r="A230" s="257" t="s">
        <v>676</v>
      </c>
      <c r="B230" s="133" t="s">
        <v>108</v>
      </c>
      <c r="C230" s="133" t="s">
        <v>703</v>
      </c>
      <c r="D230" s="133" t="s">
        <v>593</v>
      </c>
      <c r="E230" s="133" t="s">
        <v>677</v>
      </c>
      <c r="F230" s="357">
        <f t="shared" si="34"/>
        <v>15</v>
      </c>
      <c r="G230" s="357">
        <f t="shared" si="34"/>
        <v>0</v>
      </c>
      <c r="H230" s="357">
        <f t="shared" si="34"/>
        <v>0</v>
      </c>
    </row>
    <row r="231" spans="1:8" ht="51.6" customHeight="1" x14ac:dyDescent="0.2">
      <c r="A231" s="257" t="s">
        <v>678</v>
      </c>
      <c r="B231" s="133" t="s">
        <v>108</v>
      </c>
      <c r="C231" s="133" t="s">
        <v>703</v>
      </c>
      <c r="D231" s="133" t="s">
        <v>593</v>
      </c>
      <c r="E231" s="133" t="s">
        <v>679</v>
      </c>
      <c r="F231" s="357">
        <f>'5'!D243</f>
        <v>15</v>
      </c>
      <c r="G231" s="357">
        <f>'5'!E243</f>
        <v>0</v>
      </c>
      <c r="H231" s="357">
        <f>'5'!F243</f>
        <v>0</v>
      </c>
    </row>
    <row r="232" spans="1:8" s="150" customFormat="1" ht="48" customHeight="1" x14ac:dyDescent="0.25">
      <c r="A232" s="260" t="s">
        <v>746</v>
      </c>
      <c r="B232" s="118" t="s">
        <v>111</v>
      </c>
      <c r="C232" s="118" t="s">
        <v>109</v>
      </c>
      <c r="D232" s="118" t="s">
        <v>666</v>
      </c>
      <c r="E232" s="118" t="s">
        <v>222</v>
      </c>
      <c r="F232" s="119">
        <f>F233+F237</f>
        <v>177.989</v>
      </c>
      <c r="G232" s="119">
        <f>G233+G237</f>
        <v>100</v>
      </c>
      <c r="H232" s="119">
        <f>H233+H237</f>
        <v>100</v>
      </c>
    </row>
    <row r="233" spans="1:8" ht="70.5" customHeight="1" x14ac:dyDescent="0.2">
      <c r="A233" s="250" t="s">
        <v>209</v>
      </c>
      <c r="B233" s="127" t="s">
        <v>111</v>
      </c>
      <c r="C233" s="127" t="s">
        <v>747</v>
      </c>
      <c r="D233" s="127" t="s">
        <v>14</v>
      </c>
      <c r="E233" s="127" t="s">
        <v>222</v>
      </c>
      <c r="F233" s="128">
        <f>F234</f>
        <v>100</v>
      </c>
      <c r="G233" s="128">
        <f>G234</f>
        <v>100</v>
      </c>
      <c r="H233" s="128">
        <f>H234</f>
        <v>100</v>
      </c>
    </row>
    <row r="234" spans="1:8" ht="48" customHeight="1" x14ac:dyDescent="0.2">
      <c r="A234" s="250" t="s">
        <v>748</v>
      </c>
      <c r="B234" s="127" t="s">
        <v>111</v>
      </c>
      <c r="C234" s="127" t="s">
        <v>747</v>
      </c>
      <c r="D234" s="127" t="s">
        <v>14</v>
      </c>
      <c r="E234" s="127" t="s">
        <v>222</v>
      </c>
      <c r="F234" s="128">
        <f>F236</f>
        <v>100</v>
      </c>
      <c r="G234" s="128">
        <f>G236</f>
        <v>100</v>
      </c>
      <c r="H234" s="128">
        <f>H236</f>
        <v>100</v>
      </c>
    </row>
    <row r="235" spans="1:8" ht="33.75" customHeight="1" x14ac:dyDescent="0.2">
      <c r="A235" s="257" t="s">
        <v>676</v>
      </c>
      <c r="B235" s="127" t="s">
        <v>111</v>
      </c>
      <c r="C235" s="127" t="s">
        <v>747</v>
      </c>
      <c r="D235" s="127" t="s">
        <v>14</v>
      </c>
      <c r="E235" s="127" t="s">
        <v>677</v>
      </c>
      <c r="F235" s="128">
        <f>F236</f>
        <v>100</v>
      </c>
      <c r="G235" s="128">
        <f>G236</f>
        <v>100</v>
      </c>
      <c r="H235" s="128">
        <f>H236</f>
        <v>100</v>
      </c>
    </row>
    <row r="236" spans="1:8" ht="50.25" customHeight="1" x14ac:dyDescent="0.2">
      <c r="A236" s="257" t="s">
        <v>678</v>
      </c>
      <c r="B236" s="127" t="s">
        <v>111</v>
      </c>
      <c r="C236" s="127" t="s">
        <v>747</v>
      </c>
      <c r="D236" s="127" t="s">
        <v>14</v>
      </c>
      <c r="E236" s="127" t="s">
        <v>679</v>
      </c>
      <c r="F236" s="128">
        <f>'5'!D271</f>
        <v>100</v>
      </c>
      <c r="G236" s="128">
        <f>'5'!E271</f>
        <v>100</v>
      </c>
      <c r="H236" s="128">
        <f>'5'!F271</f>
        <v>100</v>
      </c>
    </row>
    <row r="237" spans="1:8" ht="104.25" customHeight="1" x14ac:dyDescent="0.2">
      <c r="A237" s="264" t="s">
        <v>616</v>
      </c>
      <c r="B237" s="154" t="s">
        <v>111</v>
      </c>
      <c r="C237" s="154" t="s">
        <v>747</v>
      </c>
      <c r="D237" s="154" t="s">
        <v>612</v>
      </c>
      <c r="E237" s="154" t="s">
        <v>222</v>
      </c>
      <c r="F237" s="280">
        <f t="shared" ref="F237:H238" si="35">F238</f>
        <v>77.989000000000004</v>
      </c>
      <c r="G237" s="280">
        <f t="shared" si="35"/>
        <v>0</v>
      </c>
      <c r="H237" s="280">
        <f t="shared" si="35"/>
        <v>0</v>
      </c>
    </row>
    <row r="238" spans="1:8" ht="36.75" customHeight="1" x14ac:dyDescent="0.2">
      <c r="A238" s="257" t="s">
        <v>676</v>
      </c>
      <c r="B238" s="127" t="s">
        <v>111</v>
      </c>
      <c r="C238" s="127" t="s">
        <v>747</v>
      </c>
      <c r="D238" s="127" t="s">
        <v>612</v>
      </c>
      <c r="E238" s="127" t="s">
        <v>677</v>
      </c>
      <c r="F238" s="281">
        <f t="shared" si="35"/>
        <v>77.989000000000004</v>
      </c>
      <c r="G238" s="282">
        <f t="shared" si="35"/>
        <v>0</v>
      </c>
      <c r="H238" s="282">
        <f t="shared" si="35"/>
        <v>0</v>
      </c>
    </row>
    <row r="239" spans="1:8" ht="50.25" customHeight="1" x14ac:dyDescent="0.2">
      <c r="A239" s="257" t="s">
        <v>678</v>
      </c>
      <c r="B239" s="127" t="s">
        <v>111</v>
      </c>
      <c r="C239" s="127" t="s">
        <v>747</v>
      </c>
      <c r="D239" s="127" t="s">
        <v>612</v>
      </c>
      <c r="E239" s="127" t="s">
        <v>679</v>
      </c>
      <c r="F239" s="282">
        <f>'5'!D294</f>
        <v>77.989000000000004</v>
      </c>
      <c r="G239" s="281">
        <v>0</v>
      </c>
      <c r="H239" s="128">
        <v>0</v>
      </c>
    </row>
    <row r="240" spans="1:8" s="150" customFormat="1" ht="16.5" customHeight="1" x14ac:dyDescent="0.25">
      <c r="A240" s="260" t="s">
        <v>754</v>
      </c>
      <c r="B240" s="118" t="s">
        <v>113</v>
      </c>
      <c r="C240" s="118" t="s">
        <v>109</v>
      </c>
      <c r="D240" s="118" t="s">
        <v>666</v>
      </c>
      <c r="E240" s="118" t="s">
        <v>222</v>
      </c>
      <c r="F240" s="119">
        <f>F250+F271+F241+F294+F299</f>
        <v>120357.17676999999</v>
      </c>
      <c r="G240" s="119">
        <f t="shared" ref="G240:H240" si="36">G250+G271+G241+G294+G299</f>
        <v>26277.098269999999</v>
      </c>
      <c r="H240" s="119">
        <f t="shared" si="36"/>
        <v>27197.098269999999</v>
      </c>
    </row>
    <row r="241" spans="1:8" s="151" customFormat="1" ht="16.5" customHeight="1" x14ac:dyDescent="0.2">
      <c r="A241" s="249" t="s">
        <v>755</v>
      </c>
      <c r="B241" s="122" t="s">
        <v>113</v>
      </c>
      <c r="C241" s="122" t="s">
        <v>685</v>
      </c>
      <c r="D241" s="122" t="s">
        <v>666</v>
      </c>
      <c r="E241" s="122" t="s">
        <v>222</v>
      </c>
      <c r="F241" s="123">
        <f>F245+F242</f>
        <v>1485.3911900000001</v>
      </c>
      <c r="G241" s="123">
        <f>G245+G242</f>
        <v>1485.3911900000001</v>
      </c>
      <c r="H241" s="123">
        <f>H245+H242</f>
        <v>1485.3911900000001</v>
      </c>
    </row>
    <row r="242" spans="1:8" ht="118.5" customHeight="1" x14ac:dyDescent="0.2">
      <c r="A242" s="251" t="s">
        <v>756</v>
      </c>
      <c r="B242" s="8" t="s">
        <v>113</v>
      </c>
      <c r="C242" s="8" t="s">
        <v>685</v>
      </c>
      <c r="D242" s="8" t="s">
        <v>29</v>
      </c>
      <c r="E242" s="8" t="s">
        <v>222</v>
      </c>
      <c r="F242" s="129">
        <f t="shared" ref="F242:H243" si="37">F243</f>
        <v>1485.3911900000001</v>
      </c>
      <c r="G242" s="129">
        <f t="shared" si="37"/>
        <v>1485.3911900000001</v>
      </c>
      <c r="H242" s="129">
        <f t="shared" si="37"/>
        <v>1485.3911900000001</v>
      </c>
    </row>
    <row r="243" spans="1:8" ht="35.25" customHeight="1" x14ac:dyDescent="0.2">
      <c r="A243" s="250" t="s">
        <v>676</v>
      </c>
      <c r="B243" s="127" t="s">
        <v>113</v>
      </c>
      <c r="C243" s="127" t="s">
        <v>685</v>
      </c>
      <c r="D243" s="127" t="s">
        <v>29</v>
      </c>
      <c r="E243" s="127" t="s">
        <v>677</v>
      </c>
      <c r="F243" s="128">
        <f t="shared" si="37"/>
        <v>1485.3911900000001</v>
      </c>
      <c r="G243" s="128">
        <f t="shared" si="37"/>
        <v>1485.3911900000001</v>
      </c>
      <c r="H243" s="128">
        <f t="shared" si="37"/>
        <v>1485.3911900000001</v>
      </c>
    </row>
    <row r="244" spans="1:8" ht="48" customHeight="1" x14ac:dyDescent="0.2">
      <c r="A244" s="250" t="s">
        <v>678</v>
      </c>
      <c r="B244" s="127" t="s">
        <v>113</v>
      </c>
      <c r="C244" s="127" t="s">
        <v>685</v>
      </c>
      <c r="D244" s="127" t="s">
        <v>29</v>
      </c>
      <c r="E244" s="127" t="s">
        <v>679</v>
      </c>
      <c r="F244" s="128">
        <f>'5'!D311</f>
        <v>1485.3911900000001</v>
      </c>
      <c r="G244" s="128">
        <f>'5'!E311</f>
        <v>1485.3911900000001</v>
      </c>
      <c r="H244" s="128">
        <f>'5'!F311</f>
        <v>1485.3911900000001</v>
      </c>
    </row>
    <row r="245" spans="1:8" ht="76.900000000000006" hidden="1" customHeight="1" x14ac:dyDescent="0.2">
      <c r="A245" s="251" t="s">
        <v>529</v>
      </c>
      <c r="B245" s="8" t="s">
        <v>113</v>
      </c>
      <c r="C245" s="8" t="s">
        <v>685</v>
      </c>
      <c r="D245" s="8" t="s">
        <v>530</v>
      </c>
      <c r="E245" s="8" t="s">
        <v>222</v>
      </c>
      <c r="F245" s="129">
        <f t="shared" ref="F245:H246" si="38">F246</f>
        <v>0</v>
      </c>
      <c r="G245" s="129">
        <f t="shared" si="38"/>
        <v>0</v>
      </c>
      <c r="H245" s="129">
        <f t="shared" si="38"/>
        <v>0</v>
      </c>
    </row>
    <row r="246" spans="1:8" ht="35.450000000000003" hidden="1" customHeight="1" x14ac:dyDescent="0.2">
      <c r="A246" s="250" t="s">
        <v>676</v>
      </c>
      <c r="B246" s="127" t="s">
        <v>113</v>
      </c>
      <c r="C246" s="127" t="s">
        <v>685</v>
      </c>
      <c r="D246" s="127" t="s">
        <v>530</v>
      </c>
      <c r="E246" s="127" t="s">
        <v>677</v>
      </c>
      <c r="F246" s="128">
        <f t="shared" si="38"/>
        <v>0</v>
      </c>
      <c r="G246" s="128">
        <f t="shared" si="38"/>
        <v>0</v>
      </c>
      <c r="H246" s="128">
        <f t="shared" si="38"/>
        <v>0</v>
      </c>
    </row>
    <row r="247" spans="1:8" ht="48" hidden="1" customHeight="1" x14ac:dyDescent="0.2">
      <c r="A247" s="250" t="s">
        <v>678</v>
      </c>
      <c r="B247" s="127" t="s">
        <v>113</v>
      </c>
      <c r="C247" s="127" t="s">
        <v>685</v>
      </c>
      <c r="D247" s="127" t="s">
        <v>530</v>
      </c>
      <c r="E247" s="127" t="s">
        <v>679</v>
      </c>
      <c r="F247" s="128"/>
      <c r="G247" s="128"/>
      <c r="H247" s="128"/>
    </row>
    <row r="248" spans="1:8" ht="97.5" customHeight="1" x14ac:dyDescent="0.2">
      <c r="A248" s="262" t="s">
        <v>1122</v>
      </c>
      <c r="B248" s="247" t="s">
        <v>113</v>
      </c>
      <c r="C248" s="247" t="s">
        <v>685</v>
      </c>
      <c r="D248" s="247" t="s">
        <v>1100</v>
      </c>
      <c r="E248" s="247" t="s">
        <v>109</v>
      </c>
      <c r="F248" s="248">
        <f>F249</f>
        <v>75</v>
      </c>
      <c r="G248" s="248">
        <f t="shared" ref="G248:H248" si="39">G249</f>
        <v>0</v>
      </c>
      <c r="H248" s="248">
        <f t="shared" si="39"/>
        <v>0</v>
      </c>
    </row>
    <row r="249" spans="1:8" ht="66" customHeight="1" x14ac:dyDescent="0.2">
      <c r="A249" s="256" t="s">
        <v>1097</v>
      </c>
      <c r="B249" s="133" t="s">
        <v>113</v>
      </c>
      <c r="C249" s="133" t="s">
        <v>685</v>
      </c>
      <c r="D249" s="133" t="s">
        <v>1128</v>
      </c>
      <c r="E249" s="147" t="s">
        <v>222</v>
      </c>
      <c r="F249" s="357">
        <f>'5'!D258</f>
        <v>75</v>
      </c>
      <c r="G249" s="357">
        <v>0</v>
      </c>
      <c r="H249" s="357">
        <v>0</v>
      </c>
    </row>
    <row r="250" spans="1:8" s="130" customFormat="1" ht="17.25" customHeight="1" x14ac:dyDescent="0.2">
      <c r="A250" s="121" t="s">
        <v>757</v>
      </c>
      <c r="B250" s="122" t="s">
        <v>113</v>
      </c>
      <c r="C250" s="122" t="s">
        <v>758</v>
      </c>
      <c r="D250" s="122" t="s">
        <v>666</v>
      </c>
      <c r="E250" s="122" t="s">
        <v>222</v>
      </c>
      <c r="F250" s="123">
        <f>F251</f>
        <v>6046.8764900000006</v>
      </c>
      <c r="G250" s="123">
        <f t="shared" ref="G250:H251" si="40">G251</f>
        <v>2003.38708</v>
      </c>
      <c r="H250" s="123">
        <f t="shared" si="40"/>
        <v>2003.38708</v>
      </c>
    </row>
    <row r="251" spans="1:8" s="130" customFormat="1" ht="118.5" customHeight="1" x14ac:dyDescent="0.2">
      <c r="A251" s="251" t="s">
        <v>1012</v>
      </c>
      <c r="B251" s="8" t="s">
        <v>113</v>
      </c>
      <c r="C251" s="8" t="s">
        <v>758</v>
      </c>
      <c r="D251" s="8" t="s">
        <v>1006</v>
      </c>
      <c r="E251" s="8" t="s">
        <v>222</v>
      </c>
      <c r="F251" s="129">
        <f>F252</f>
        <v>6046.8764900000006</v>
      </c>
      <c r="G251" s="129">
        <f t="shared" si="40"/>
        <v>2003.38708</v>
      </c>
      <c r="H251" s="129">
        <f t="shared" si="40"/>
        <v>2003.38708</v>
      </c>
    </row>
    <row r="252" spans="1:8" ht="18.75" customHeight="1" x14ac:dyDescent="0.2">
      <c r="A252" s="250" t="s">
        <v>759</v>
      </c>
      <c r="B252" s="127" t="s">
        <v>113</v>
      </c>
      <c r="C252" s="127" t="s">
        <v>758</v>
      </c>
      <c r="D252" s="127" t="s">
        <v>1006</v>
      </c>
      <c r="E252" s="127" t="s">
        <v>222</v>
      </c>
      <c r="F252" s="128">
        <f>F253+F256+F259+F262</f>
        <v>6046.8764900000006</v>
      </c>
      <c r="G252" s="128">
        <f t="shared" ref="G252:H252" si="41">G253+G256+G259+G262</f>
        <v>2003.38708</v>
      </c>
      <c r="H252" s="128">
        <f t="shared" si="41"/>
        <v>2003.38708</v>
      </c>
    </row>
    <row r="253" spans="1:8" ht="68.25" hidden="1" customHeight="1" x14ac:dyDescent="0.2">
      <c r="A253" s="250" t="s">
        <v>30</v>
      </c>
      <c r="B253" s="127" t="s">
        <v>113</v>
      </c>
      <c r="C253" s="127" t="s">
        <v>758</v>
      </c>
      <c r="D253" s="127" t="s">
        <v>258</v>
      </c>
      <c r="E253" s="127" t="s">
        <v>222</v>
      </c>
      <c r="F253" s="128">
        <f t="shared" ref="F253:H254" si="42">F254</f>
        <v>0</v>
      </c>
      <c r="G253" s="128">
        <f t="shared" si="42"/>
        <v>0</v>
      </c>
      <c r="H253" s="128">
        <f t="shared" si="42"/>
        <v>0</v>
      </c>
    </row>
    <row r="254" spans="1:8" ht="19.149999999999999" hidden="1" customHeight="1" x14ac:dyDescent="0.2">
      <c r="A254" s="250" t="s">
        <v>680</v>
      </c>
      <c r="B254" s="127" t="s">
        <v>113</v>
      </c>
      <c r="C254" s="127" t="s">
        <v>758</v>
      </c>
      <c r="D254" s="127" t="s">
        <v>258</v>
      </c>
      <c r="E254" s="127" t="s">
        <v>681</v>
      </c>
      <c r="F254" s="128">
        <f t="shared" si="42"/>
        <v>0</v>
      </c>
      <c r="G254" s="128">
        <f t="shared" si="42"/>
        <v>0</v>
      </c>
      <c r="H254" s="128">
        <f t="shared" si="42"/>
        <v>0</v>
      </c>
    </row>
    <row r="255" spans="1:8" ht="49.9" hidden="1" customHeight="1" x14ac:dyDescent="0.2">
      <c r="A255" s="250" t="s">
        <v>386</v>
      </c>
      <c r="B255" s="127" t="s">
        <v>113</v>
      </c>
      <c r="C255" s="127" t="s">
        <v>758</v>
      </c>
      <c r="D255" s="127" t="s">
        <v>258</v>
      </c>
      <c r="E255" s="127" t="s">
        <v>760</v>
      </c>
      <c r="F255" s="128"/>
      <c r="G255" s="128"/>
      <c r="H255" s="128"/>
    </row>
    <row r="256" spans="1:8" ht="85.5" customHeight="1" x14ac:dyDescent="0.2">
      <c r="A256" s="257" t="s">
        <v>643</v>
      </c>
      <c r="B256" s="133" t="s">
        <v>113</v>
      </c>
      <c r="C256" s="133" t="s">
        <v>758</v>
      </c>
      <c r="D256" s="133" t="s">
        <v>1007</v>
      </c>
      <c r="E256" s="133" t="s">
        <v>222</v>
      </c>
      <c r="F256" s="357">
        <f>F257</f>
        <v>4834.7915300000004</v>
      </c>
      <c r="G256" s="357">
        <f t="shared" ref="G256:H257" si="43">G257</f>
        <v>0</v>
      </c>
      <c r="H256" s="357">
        <f t="shared" si="43"/>
        <v>0</v>
      </c>
    </row>
    <row r="257" spans="1:8" ht="34.5" customHeight="1" x14ac:dyDescent="0.2">
      <c r="A257" s="250" t="s">
        <v>676</v>
      </c>
      <c r="B257" s="127" t="s">
        <v>113</v>
      </c>
      <c r="C257" s="127" t="s">
        <v>758</v>
      </c>
      <c r="D257" s="133" t="s">
        <v>1007</v>
      </c>
      <c r="E257" s="127" t="s">
        <v>1042</v>
      </c>
      <c r="F257" s="128">
        <f>F258</f>
        <v>4834.7915300000004</v>
      </c>
      <c r="G257" s="128">
        <f t="shared" si="43"/>
        <v>0</v>
      </c>
      <c r="H257" s="128">
        <f t="shared" si="43"/>
        <v>0</v>
      </c>
    </row>
    <row r="258" spans="1:8" ht="50.25" customHeight="1" x14ac:dyDescent="0.2">
      <c r="A258" s="250" t="s">
        <v>678</v>
      </c>
      <c r="B258" s="127" t="s">
        <v>113</v>
      </c>
      <c r="C258" s="127" t="s">
        <v>758</v>
      </c>
      <c r="D258" s="133" t="s">
        <v>1007</v>
      </c>
      <c r="E258" s="133" t="s">
        <v>1042</v>
      </c>
      <c r="F258" s="128">
        <f>'5'!D248</f>
        <v>4834.7915300000004</v>
      </c>
      <c r="G258" s="128">
        <f>'5'!E248</f>
        <v>0</v>
      </c>
      <c r="H258" s="128">
        <f>'5'!F248</f>
        <v>0</v>
      </c>
    </row>
    <row r="259" spans="1:8" ht="78" customHeight="1" x14ac:dyDescent="0.2">
      <c r="A259" s="250" t="s">
        <v>1000</v>
      </c>
      <c r="B259" s="127" t="s">
        <v>113</v>
      </c>
      <c r="C259" s="127" t="s">
        <v>758</v>
      </c>
      <c r="D259" s="127" t="s">
        <v>1009</v>
      </c>
      <c r="E259" s="133" t="s">
        <v>222</v>
      </c>
      <c r="F259" s="128">
        <f t="shared" ref="F259:H260" si="44">F260</f>
        <v>1208.6978799999999</v>
      </c>
      <c r="G259" s="128">
        <f t="shared" si="44"/>
        <v>2000</v>
      </c>
      <c r="H259" s="128">
        <f t="shared" si="44"/>
        <v>2000</v>
      </c>
    </row>
    <row r="260" spans="1:8" ht="31.15" customHeight="1" x14ac:dyDescent="0.2">
      <c r="A260" s="250" t="s">
        <v>676</v>
      </c>
      <c r="B260" s="127" t="s">
        <v>113</v>
      </c>
      <c r="C260" s="127" t="s">
        <v>758</v>
      </c>
      <c r="D260" s="127" t="s">
        <v>1009</v>
      </c>
      <c r="E260" s="133" t="s">
        <v>1042</v>
      </c>
      <c r="F260" s="128">
        <f t="shared" si="44"/>
        <v>1208.6978799999999</v>
      </c>
      <c r="G260" s="128">
        <f t="shared" si="44"/>
        <v>2000</v>
      </c>
      <c r="H260" s="128">
        <f t="shared" si="44"/>
        <v>2000</v>
      </c>
    </row>
    <row r="261" spans="1:8" ht="50.45" customHeight="1" x14ac:dyDescent="0.2">
      <c r="A261" s="250" t="s">
        <v>678</v>
      </c>
      <c r="B261" s="127" t="s">
        <v>113</v>
      </c>
      <c r="C261" s="127" t="s">
        <v>758</v>
      </c>
      <c r="D261" s="127" t="s">
        <v>1009</v>
      </c>
      <c r="E261" s="133" t="s">
        <v>1042</v>
      </c>
      <c r="F261" s="128">
        <f>'5'!D249</f>
        <v>1208.6978799999999</v>
      </c>
      <c r="G261" s="128">
        <f>'5'!E249</f>
        <v>2000</v>
      </c>
      <c r="H261" s="128">
        <f>'5'!F249</f>
        <v>2000</v>
      </c>
    </row>
    <row r="262" spans="1:8" ht="161.25" customHeight="1" x14ac:dyDescent="0.2">
      <c r="A262" s="251" t="s">
        <v>762</v>
      </c>
      <c r="B262" s="8" t="s">
        <v>113</v>
      </c>
      <c r="C262" s="8" t="s">
        <v>758</v>
      </c>
      <c r="D262" s="8" t="s">
        <v>666</v>
      </c>
      <c r="E262" s="8" t="s">
        <v>222</v>
      </c>
      <c r="F262" s="129">
        <f t="shared" ref="F262:H263" si="45">F263</f>
        <v>3.3870800000000001</v>
      </c>
      <c r="G262" s="129">
        <f t="shared" si="45"/>
        <v>3.3870800000000001</v>
      </c>
      <c r="H262" s="129">
        <f t="shared" si="45"/>
        <v>3.3870800000000001</v>
      </c>
    </row>
    <row r="263" spans="1:8" ht="36.75" customHeight="1" x14ac:dyDescent="0.2">
      <c r="A263" s="250" t="s">
        <v>676</v>
      </c>
      <c r="B263" s="127" t="s">
        <v>113</v>
      </c>
      <c r="C263" s="127" t="s">
        <v>758</v>
      </c>
      <c r="D263" s="127" t="s">
        <v>1011</v>
      </c>
      <c r="E263" s="127" t="s">
        <v>677</v>
      </c>
      <c r="F263" s="128">
        <f t="shared" si="45"/>
        <v>3.3870800000000001</v>
      </c>
      <c r="G263" s="128">
        <f t="shared" si="45"/>
        <v>3.3870800000000001</v>
      </c>
      <c r="H263" s="128">
        <f t="shared" si="45"/>
        <v>3.3870800000000001</v>
      </c>
    </row>
    <row r="264" spans="1:8" ht="52.5" customHeight="1" x14ac:dyDescent="0.2">
      <c r="A264" s="250" t="s">
        <v>678</v>
      </c>
      <c r="B264" s="127" t="s">
        <v>113</v>
      </c>
      <c r="C264" s="127" t="s">
        <v>758</v>
      </c>
      <c r="D264" s="127" t="s">
        <v>1011</v>
      </c>
      <c r="E264" s="127" t="s">
        <v>679</v>
      </c>
      <c r="F264" s="128">
        <f>'5'!D250</f>
        <v>3.3870800000000001</v>
      </c>
      <c r="G264" s="128">
        <f>'5'!E250</f>
        <v>3.3870800000000001</v>
      </c>
      <c r="H264" s="128">
        <f>'5'!F250</f>
        <v>3.3870800000000001</v>
      </c>
    </row>
    <row r="265" spans="1:8" ht="33.75" hidden="1" customHeight="1" x14ac:dyDescent="0.2">
      <c r="A265" s="258" t="s">
        <v>669</v>
      </c>
      <c r="B265" s="135" t="s">
        <v>113</v>
      </c>
      <c r="C265" s="135" t="s">
        <v>758</v>
      </c>
      <c r="D265" s="135" t="s">
        <v>763</v>
      </c>
      <c r="E265" s="135" t="s">
        <v>222</v>
      </c>
      <c r="F265" s="136">
        <f>F266</f>
        <v>0</v>
      </c>
      <c r="G265" s="136">
        <f t="shared" ref="G265:H268" si="46">G266</f>
        <v>0</v>
      </c>
      <c r="H265" s="136">
        <f t="shared" si="46"/>
        <v>0</v>
      </c>
    </row>
    <row r="266" spans="1:8" ht="23.45" hidden="1" customHeight="1" x14ac:dyDescent="0.2">
      <c r="A266" s="250" t="s">
        <v>759</v>
      </c>
      <c r="B266" s="127" t="s">
        <v>113</v>
      </c>
      <c r="C266" s="127" t="s">
        <v>758</v>
      </c>
      <c r="D266" s="133" t="s">
        <v>15</v>
      </c>
      <c r="E266" s="133" t="s">
        <v>222</v>
      </c>
      <c r="F266" s="128">
        <f>F267</f>
        <v>0</v>
      </c>
      <c r="G266" s="128">
        <f t="shared" si="46"/>
        <v>0</v>
      </c>
      <c r="H266" s="128">
        <f t="shared" si="46"/>
        <v>0</v>
      </c>
    </row>
    <row r="267" spans="1:8" ht="34.15" hidden="1" customHeight="1" x14ac:dyDescent="0.2">
      <c r="A267" s="257" t="s">
        <v>764</v>
      </c>
      <c r="B267" s="127" t="s">
        <v>113</v>
      </c>
      <c r="C267" s="127" t="s">
        <v>758</v>
      </c>
      <c r="D267" s="133" t="s">
        <v>15</v>
      </c>
      <c r="E267" s="133" t="s">
        <v>222</v>
      </c>
      <c r="F267" s="128">
        <f>F268</f>
        <v>0</v>
      </c>
      <c r="G267" s="128">
        <f t="shared" si="46"/>
        <v>0</v>
      </c>
      <c r="H267" s="128">
        <f t="shared" si="46"/>
        <v>0</v>
      </c>
    </row>
    <row r="268" spans="1:8" ht="19.899999999999999" hidden="1" customHeight="1" x14ac:dyDescent="0.2">
      <c r="A268" s="257" t="s">
        <v>680</v>
      </c>
      <c r="B268" s="127" t="s">
        <v>113</v>
      </c>
      <c r="C268" s="127" t="s">
        <v>758</v>
      </c>
      <c r="D268" s="133" t="s">
        <v>15</v>
      </c>
      <c r="E268" s="133" t="s">
        <v>681</v>
      </c>
      <c r="F268" s="128">
        <f>F269</f>
        <v>0</v>
      </c>
      <c r="G268" s="128">
        <f t="shared" si="46"/>
        <v>0</v>
      </c>
      <c r="H268" s="128">
        <f t="shared" si="46"/>
        <v>0</v>
      </c>
    </row>
    <row r="269" spans="1:8" ht="50.45" hidden="1" customHeight="1" x14ac:dyDescent="0.2">
      <c r="A269" s="257" t="s">
        <v>386</v>
      </c>
      <c r="B269" s="127" t="s">
        <v>113</v>
      </c>
      <c r="C269" s="127" t="s">
        <v>758</v>
      </c>
      <c r="D269" s="133" t="s">
        <v>15</v>
      </c>
      <c r="E269" s="133" t="s">
        <v>760</v>
      </c>
      <c r="F269" s="128">
        <f>'5'!D274</f>
        <v>0</v>
      </c>
      <c r="G269" s="128">
        <f>'5'!E274</f>
        <v>0</v>
      </c>
      <c r="H269" s="128">
        <f>'5'!F274</f>
        <v>0</v>
      </c>
    </row>
    <row r="270" spans="1:8" ht="33.75" hidden="1" customHeight="1" x14ac:dyDescent="0.2">
      <c r="A270" s="250"/>
      <c r="B270" s="127"/>
      <c r="C270" s="127"/>
      <c r="D270" s="127"/>
      <c r="E270" s="127"/>
      <c r="F270" s="128"/>
      <c r="G270" s="128"/>
      <c r="H270" s="128"/>
    </row>
    <row r="271" spans="1:8" s="130" customFormat="1" ht="17.25" customHeight="1" x14ac:dyDescent="0.2">
      <c r="A271" s="249" t="s">
        <v>765</v>
      </c>
      <c r="B271" s="122" t="s">
        <v>113</v>
      </c>
      <c r="C271" s="122" t="s">
        <v>747</v>
      </c>
      <c r="D271" s="122" t="s">
        <v>666</v>
      </c>
      <c r="E271" s="122" t="s">
        <v>222</v>
      </c>
      <c r="F271" s="123">
        <f>F272+F287</f>
        <v>46797.87919</v>
      </c>
      <c r="G271" s="123">
        <f>G272+G287</f>
        <v>22588.32</v>
      </c>
      <c r="H271" s="123">
        <f>H272+H287</f>
        <v>23508.32</v>
      </c>
    </row>
    <row r="272" spans="1:8" s="130" customFormat="1" ht="86.25" customHeight="1" x14ac:dyDescent="0.2">
      <c r="A272" s="251" t="s">
        <v>585</v>
      </c>
      <c r="B272" s="8" t="s">
        <v>113</v>
      </c>
      <c r="C272" s="8" t="s">
        <v>747</v>
      </c>
      <c r="D272" s="8" t="s">
        <v>253</v>
      </c>
      <c r="E272" s="8" t="s">
        <v>222</v>
      </c>
      <c r="F272" s="129">
        <f>F273+F278+F282</f>
        <v>46653.259189999997</v>
      </c>
      <c r="G272" s="129">
        <f t="shared" ref="G272:H272" si="47">G273+G278+G282</f>
        <v>22508</v>
      </c>
      <c r="H272" s="129">
        <f t="shared" si="47"/>
        <v>23428</v>
      </c>
    </row>
    <row r="273" spans="1:8" ht="33.75" customHeight="1" x14ac:dyDescent="0.2">
      <c r="A273" s="250" t="s">
        <v>210</v>
      </c>
      <c r="B273" s="127" t="s">
        <v>113</v>
      </c>
      <c r="C273" s="127" t="s">
        <v>747</v>
      </c>
      <c r="D273" s="127" t="s">
        <v>260</v>
      </c>
      <c r="E273" s="133" t="s">
        <v>222</v>
      </c>
      <c r="F273" s="357">
        <f>F274+F276</f>
        <v>17257.253240000002</v>
      </c>
      <c r="G273" s="357">
        <f t="shared" ref="F273:H274" si="48">G274</f>
        <v>6720</v>
      </c>
      <c r="H273" s="128">
        <f t="shared" si="48"/>
        <v>6995</v>
      </c>
    </row>
    <row r="274" spans="1:8" ht="35.25" customHeight="1" x14ac:dyDescent="0.2">
      <c r="A274" s="250" t="s">
        <v>676</v>
      </c>
      <c r="B274" s="127" t="s">
        <v>113</v>
      </c>
      <c r="C274" s="127" t="s">
        <v>747</v>
      </c>
      <c r="D274" s="127" t="s">
        <v>260</v>
      </c>
      <c r="E274" s="133" t="s">
        <v>677</v>
      </c>
      <c r="F274" s="357">
        <f t="shared" si="48"/>
        <v>17257.253240000002</v>
      </c>
      <c r="G274" s="357">
        <f t="shared" si="48"/>
        <v>6720</v>
      </c>
      <c r="H274" s="128">
        <f t="shared" si="48"/>
        <v>6995</v>
      </c>
    </row>
    <row r="275" spans="1:8" ht="47.25" customHeight="1" x14ac:dyDescent="0.2">
      <c r="A275" s="250" t="s">
        <v>678</v>
      </c>
      <c r="B275" s="127" t="s">
        <v>113</v>
      </c>
      <c r="C275" s="127" t="s">
        <v>747</v>
      </c>
      <c r="D275" s="127" t="s">
        <v>260</v>
      </c>
      <c r="E275" s="133" t="s">
        <v>679</v>
      </c>
      <c r="F275" s="357">
        <f>'5'!D204</f>
        <v>17257.253240000002</v>
      </c>
      <c r="G275" s="357">
        <f>'5'!E204</f>
        <v>6720</v>
      </c>
      <c r="H275" s="357">
        <f>'5'!F204</f>
        <v>6995</v>
      </c>
    </row>
    <row r="276" spans="1:8" ht="47.25" hidden="1" customHeight="1" x14ac:dyDescent="0.2">
      <c r="A276" s="250" t="s">
        <v>729</v>
      </c>
      <c r="B276" s="127" t="s">
        <v>113</v>
      </c>
      <c r="C276" s="127" t="s">
        <v>747</v>
      </c>
      <c r="D276" s="127" t="s">
        <v>260</v>
      </c>
      <c r="E276" s="133" t="s">
        <v>730</v>
      </c>
      <c r="F276" s="357">
        <f>F277</f>
        <v>0</v>
      </c>
      <c r="G276" s="357">
        <f>G277</f>
        <v>0</v>
      </c>
      <c r="H276" s="357">
        <f>H277</f>
        <v>0</v>
      </c>
    </row>
    <row r="277" spans="1:8" ht="27" hidden="1" customHeight="1" x14ac:dyDescent="0.2">
      <c r="A277" s="250" t="s">
        <v>731</v>
      </c>
      <c r="B277" s="127" t="s">
        <v>113</v>
      </c>
      <c r="C277" s="127" t="s">
        <v>747</v>
      </c>
      <c r="D277" s="127" t="s">
        <v>260</v>
      </c>
      <c r="E277" s="133" t="s">
        <v>732</v>
      </c>
      <c r="F277" s="357"/>
      <c r="G277" s="357"/>
      <c r="H277" s="128"/>
    </row>
    <row r="278" spans="1:8" ht="22.5" customHeight="1" x14ac:dyDescent="0.2">
      <c r="A278" s="250" t="s">
        <v>743</v>
      </c>
      <c r="B278" s="127" t="s">
        <v>113</v>
      </c>
      <c r="C278" s="127" t="s">
        <v>747</v>
      </c>
      <c r="D278" s="127" t="s">
        <v>259</v>
      </c>
      <c r="E278" s="133" t="s">
        <v>744</v>
      </c>
      <c r="F278" s="357">
        <f>F279</f>
        <v>14244.4908</v>
      </c>
      <c r="G278" s="357">
        <f>G279</f>
        <v>15788</v>
      </c>
      <c r="H278" s="128">
        <f>H279</f>
        <v>16433</v>
      </c>
    </row>
    <row r="279" spans="1:8" ht="20.45" customHeight="1" x14ac:dyDescent="0.2">
      <c r="A279" s="250" t="s">
        <v>175</v>
      </c>
      <c r="B279" s="127" t="s">
        <v>113</v>
      </c>
      <c r="C279" s="127" t="s">
        <v>747</v>
      </c>
      <c r="D279" s="127" t="s">
        <v>259</v>
      </c>
      <c r="E279" s="133" t="s">
        <v>761</v>
      </c>
      <c r="F279" s="357">
        <f>'5'!D205</f>
        <v>14244.4908</v>
      </c>
      <c r="G279" s="357">
        <f>'5'!E205</f>
        <v>15788</v>
      </c>
      <c r="H279" s="357">
        <f>'5'!F205</f>
        <v>16433</v>
      </c>
    </row>
    <row r="280" spans="1:8" ht="95.45" hidden="1" customHeight="1" x14ac:dyDescent="0.2">
      <c r="A280" s="250" t="s">
        <v>272</v>
      </c>
      <c r="B280" s="127" t="s">
        <v>113</v>
      </c>
      <c r="C280" s="127" t="s">
        <v>747</v>
      </c>
      <c r="D280" s="127" t="s">
        <v>273</v>
      </c>
      <c r="E280" s="133" t="s">
        <v>761</v>
      </c>
      <c r="F280" s="357"/>
      <c r="G280" s="357"/>
      <c r="H280" s="128"/>
    </row>
    <row r="281" spans="1:8" ht="30.6" hidden="1" customHeight="1" x14ac:dyDescent="0.2">
      <c r="A281" s="250" t="s">
        <v>276</v>
      </c>
      <c r="B281" s="127" t="s">
        <v>113</v>
      </c>
      <c r="C281" s="127" t="s">
        <v>747</v>
      </c>
      <c r="D281" s="127" t="s">
        <v>277</v>
      </c>
      <c r="E281" s="133" t="s">
        <v>761</v>
      </c>
      <c r="F281" s="357"/>
      <c r="G281" s="357"/>
      <c r="H281" s="128"/>
    </row>
    <row r="282" spans="1:8" ht="52.5" customHeight="1" x14ac:dyDescent="0.2">
      <c r="A282" s="251" t="s">
        <v>766</v>
      </c>
      <c r="B282" s="8" t="s">
        <v>113</v>
      </c>
      <c r="C282" s="8" t="s">
        <v>747</v>
      </c>
      <c r="D282" s="8" t="s">
        <v>253</v>
      </c>
      <c r="E282" s="147" t="s">
        <v>222</v>
      </c>
      <c r="F282" s="131">
        <f>F284+F286</f>
        <v>15151.515149999999</v>
      </c>
      <c r="G282" s="131">
        <f>G284+G286</f>
        <v>0</v>
      </c>
      <c r="H282" s="129">
        <f>H284+H286</f>
        <v>0</v>
      </c>
    </row>
    <row r="283" spans="1:8" ht="35.25" customHeight="1" x14ac:dyDescent="0.2">
      <c r="A283" s="250" t="s">
        <v>676</v>
      </c>
      <c r="B283" s="127" t="s">
        <v>113</v>
      </c>
      <c r="C283" s="127" t="s">
        <v>747</v>
      </c>
      <c r="D283" s="127" t="s">
        <v>387</v>
      </c>
      <c r="E283" s="127" t="s">
        <v>677</v>
      </c>
      <c r="F283" s="357">
        <f>F284</f>
        <v>15000</v>
      </c>
      <c r="G283" s="128">
        <f>G284</f>
        <v>0</v>
      </c>
      <c r="H283" s="128">
        <f>H284</f>
        <v>0</v>
      </c>
    </row>
    <row r="284" spans="1:8" ht="53.25" customHeight="1" x14ac:dyDescent="0.2">
      <c r="A284" s="250" t="s">
        <v>678</v>
      </c>
      <c r="B284" s="127" t="s">
        <v>113</v>
      </c>
      <c r="C284" s="127" t="s">
        <v>747</v>
      </c>
      <c r="D284" s="127" t="s">
        <v>387</v>
      </c>
      <c r="E284" s="127" t="s">
        <v>679</v>
      </c>
      <c r="F284" s="357">
        <f>'5'!D208</f>
        <v>15000</v>
      </c>
      <c r="G284" s="128">
        <f>'5'!E208</f>
        <v>0</v>
      </c>
      <c r="H284" s="128">
        <f>'5'!F208</f>
        <v>0</v>
      </c>
    </row>
    <row r="285" spans="1:8" ht="34.5" customHeight="1" x14ac:dyDescent="0.2">
      <c r="A285" s="250" t="s">
        <v>676</v>
      </c>
      <c r="B285" s="127" t="s">
        <v>113</v>
      </c>
      <c r="C285" s="127" t="s">
        <v>747</v>
      </c>
      <c r="D285" s="127" t="s">
        <v>396</v>
      </c>
      <c r="E285" s="127" t="s">
        <v>677</v>
      </c>
      <c r="F285" s="357">
        <f>F286</f>
        <v>151.51515000000001</v>
      </c>
      <c r="G285" s="128">
        <f>G286</f>
        <v>0</v>
      </c>
      <c r="H285" s="128">
        <f>H286</f>
        <v>0</v>
      </c>
    </row>
    <row r="286" spans="1:8" ht="58.5" customHeight="1" x14ac:dyDescent="0.2">
      <c r="A286" s="250" t="s">
        <v>678</v>
      </c>
      <c r="B286" s="127" t="s">
        <v>113</v>
      </c>
      <c r="C286" s="127" t="s">
        <v>747</v>
      </c>
      <c r="D286" s="127" t="s">
        <v>396</v>
      </c>
      <c r="E286" s="127" t="s">
        <v>679</v>
      </c>
      <c r="F286" s="357">
        <f>'5'!D209</f>
        <v>151.51515000000001</v>
      </c>
      <c r="G286" s="128">
        <f>'5'!E209</f>
        <v>0</v>
      </c>
      <c r="H286" s="128">
        <f>'5'!F209</f>
        <v>0</v>
      </c>
    </row>
    <row r="287" spans="1:8" ht="34.5" customHeight="1" x14ac:dyDescent="0.2">
      <c r="A287" s="251" t="s">
        <v>669</v>
      </c>
      <c r="B287" s="8" t="s">
        <v>113</v>
      </c>
      <c r="C287" s="8" t="s">
        <v>747</v>
      </c>
      <c r="D287" s="8" t="s">
        <v>5</v>
      </c>
      <c r="E287" s="8" t="s">
        <v>222</v>
      </c>
      <c r="F287" s="131">
        <f>F288</f>
        <v>144.62</v>
      </c>
      <c r="G287" s="129">
        <f t="shared" ref="G287:H288" si="49">G288</f>
        <v>80.319999999999993</v>
      </c>
      <c r="H287" s="129">
        <f t="shared" si="49"/>
        <v>80.319999999999993</v>
      </c>
    </row>
    <row r="288" spans="1:8" ht="48.75" customHeight="1" x14ac:dyDescent="0.2">
      <c r="A288" s="250" t="s">
        <v>110</v>
      </c>
      <c r="B288" s="127" t="s">
        <v>113</v>
      </c>
      <c r="C288" s="127" t="s">
        <v>747</v>
      </c>
      <c r="D288" s="127" t="s">
        <v>6</v>
      </c>
      <c r="E288" s="127" t="s">
        <v>222</v>
      </c>
      <c r="F288" s="357">
        <f>F289</f>
        <v>144.62</v>
      </c>
      <c r="G288" s="128">
        <f t="shared" si="49"/>
        <v>80.319999999999993</v>
      </c>
      <c r="H288" s="128">
        <f t="shared" si="49"/>
        <v>80.319999999999993</v>
      </c>
    </row>
    <row r="289" spans="1:8" ht="20.25" customHeight="1" x14ac:dyDescent="0.2">
      <c r="A289" s="250" t="s">
        <v>313</v>
      </c>
      <c r="B289" s="127" t="s">
        <v>113</v>
      </c>
      <c r="C289" s="127" t="s">
        <v>747</v>
      </c>
      <c r="D289" s="141" t="s">
        <v>314</v>
      </c>
      <c r="E289" s="127" t="s">
        <v>222</v>
      </c>
      <c r="F289" s="357">
        <f>F290+F292</f>
        <v>144.62</v>
      </c>
      <c r="G289" s="128">
        <f>G290+G292</f>
        <v>80.319999999999993</v>
      </c>
      <c r="H289" s="128">
        <f>H290+H292</f>
        <v>80.319999999999993</v>
      </c>
    </row>
    <row r="290" spans="1:8" ht="34.15" customHeight="1" x14ac:dyDescent="0.2">
      <c r="A290" s="250" t="s">
        <v>676</v>
      </c>
      <c r="B290" s="127" t="s">
        <v>113</v>
      </c>
      <c r="C290" s="127" t="s">
        <v>747</v>
      </c>
      <c r="D290" s="141" t="s">
        <v>314</v>
      </c>
      <c r="E290" s="127" t="s">
        <v>677</v>
      </c>
      <c r="F290" s="357">
        <f>F291</f>
        <v>64.3</v>
      </c>
      <c r="G290" s="128">
        <f>G291</f>
        <v>0</v>
      </c>
      <c r="H290" s="128">
        <f>H291</f>
        <v>0</v>
      </c>
    </row>
    <row r="291" spans="1:8" ht="51" customHeight="1" x14ac:dyDescent="0.2">
      <c r="A291" s="250" t="s">
        <v>678</v>
      </c>
      <c r="B291" s="127" t="s">
        <v>113</v>
      </c>
      <c r="C291" s="127" t="s">
        <v>747</v>
      </c>
      <c r="D291" s="141" t="s">
        <v>314</v>
      </c>
      <c r="E291" s="127" t="s">
        <v>679</v>
      </c>
      <c r="F291" s="357">
        <v>64.3</v>
      </c>
      <c r="G291" s="128">
        <v>0</v>
      </c>
      <c r="H291" s="128">
        <v>0</v>
      </c>
    </row>
    <row r="292" spans="1:8" ht="22.5" customHeight="1" x14ac:dyDescent="0.2">
      <c r="A292" s="250" t="s">
        <v>680</v>
      </c>
      <c r="B292" s="127" t="s">
        <v>113</v>
      </c>
      <c r="C292" s="127" t="s">
        <v>747</v>
      </c>
      <c r="D292" s="141" t="s">
        <v>314</v>
      </c>
      <c r="E292" s="127" t="s">
        <v>681</v>
      </c>
      <c r="F292" s="357">
        <f>F293</f>
        <v>80.319999999999993</v>
      </c>
      <c r="G292" s="128">
        <f>G293</f>
        <v>80.319999999999993</v>
      </c>
      <c r="H292" s="128">
        <f>H293</f>
        <v>80.319999999999993</v>
      </c>
    </row>
    <row r="293" spans="1:8" ht="19.5" customHeight="1" x14ac:dyDescent="0.2">
      <c r="A293" s="250" t="s">
        <v>682</v>
      </c>
      <c r="B293" s="127" t="s">
        <v>113</v>
      </c>
      <c r="C293" s="127" t="s">
        <v>747</v>
      </c>
      <c r="D293" s="141" t="s">
        <v>314</v>
      </c>
      <c r="E293" s="127" t="s">
        <v>683</v>
      </c>
      <c r="F293" s="14">
        <v>80.319999999999993</v>
      </c>
      <c r="G293" s="74">
        <f>'5'!E298</f>
        <v>80.319999999999993</v>
      </c>
      <c r="H293" s="74">
        <f>'5'!F298</f>
        <v>80.319999999999993</v>
      </c>
    </row>
    <row r="294" spans="1:8" s="125" customFormat="1" ht="31.5" x14ac:dyDescent="0.2">
      <c r="A294" s="249" t="s">
        <v>767</v>
      </c>
      <c r="B294" s="122" t="s">
        <v>113</v>
      </c>
      <c r="C294" s="122" t="s">
        <v>768</v>
      </c>
      <c r="D294" s="122" t="s">
        <v>666</v>
      </c>
      <c r="E294" s="122" t="s">
        <v>222</v>
      </c>
      <c r="F294" s="123">
        <f>F295+F304</f>
        <v>66027.029899999994</v>
      </c>
      <c r="G294" s="123">
        <f t="shared" ref="G294:H294" si="50">G295</f>
        <v>200</v>
      </c>
      <c r="H294" s="123">
        <f t="shared" si="50"/>
        <v>200</v>
      </c>
    </row>
    <row r="295" spans="1:8" ht="66" customHeight="1" x14ac:dyDescent="0.2">
      <c r="A295" s="256" t="s">
        <v>769</v>
      </c>
      <c r="B295" s="147" t="s">
        <v>113</v>
      </c>
      <c r="C295" s="147" t="s">
        <v>768</v>
      </c>
      <c r="D295" s="147" t="s">
        <v>251</v>
      </c>
      <c r="E295" s="147" t="s">
        <v>222</v>
      </c>
      <c r="F295" s="131">
        <f>F296</f>
        <v>72</v>
      </c>
      <c r="G295" s="131">
        <f t="shared" ref="G295:H297" si="51">G296</f>
        <v>200</v>
      </c>
      <c r="H295" s="131">
        <f t="shared" si="51"/>
        <v>200</v>
      </c>
    </row>
    <row r="296" spans="1:8" ht="33.6" customHeight="1" x14ac:dyDescent="0.2">
      <c r="A296" s="257" t="s">
        <v>770</v>
      </c>
      <c r="B296" s="133" t="s">
        <v>113</v>
      </c>
      <c r="C296" s="133" t="s">
        <v>768</v>
      </c>
      <c r="D296" s="133" t="s">
        <v>252</v>
      </c>
      <c r="E296" s="133" t="s">
        <v>222</v>
      </c>
      <c r="F296" s="357">
        <f>F297+F302</f>
        <v>72</v>
      </c>
      <c r="G296" s="357">
        <f>G297+G302</f>
        <v>200</v>
      </c>
      <c r="H296" s="357">
        <f>H297+H302</f>
        <v>200</v>
      </c>
    </row>
    <row r="297" spans="1:8" ht="18.75" customHeight="1" x14ac:dyDescent="0.2">
      <c r="A297" s="257" t="s">
        <v>680</v>
      </c>
      <c r="B297" s="133" t="s">
        <v>113</v>
      </c>
      <c r="C297" s="133" t="s">
        <v>768</v>
      </c>
      <c r="D297" s="133" t="s">
        <v>252</v>
      </c>
      <c r="E297" s="133" t="s">
        <v>681</v>
      </c>
      <c r="F297" s="357">
        <f>F298</f>
        <v>69</v>
      </c>
      <c r="G297" s="357">
        <f t="shared" si="51"/>
        <v>197</v>
      </c>
      <c r="H297" s="357">
        <f t="shared" si="51"/>
        <v>197</v>
      </c>
    </row>
    <row r="298" spans="1:8" ht="69" customHeight="1" x14ac:dyDescent="0.2">
      <c r="A298" s="257" t="s">
        <v>771</v>
      </c>
      <c r="B298" s="133" t="s">
        <v>113</v>
      </c>
      <c r="C298" s="133" t="s">
        <v>768</v>
      </c>
      <c r="D298" s="133" t="s">
        <v>252</v>
      </c>
      <c r="E298" s="133" t="s">
        <v>760</v>
      </c>
      <c r="F298" s="357">
        <f>197-128</f>
        <v>69</v>
      </c>
      <c r="G298" s="357">
        <v>197</v>
      </c>
      <c r="H298" s="357">
        <v>197</v>
      </c>
    </row>
    <row r="299" spans="1:8" ht="110.25" hidden="1" customHeight="1" x14ac:dyDescent="0.2">
      <c r="A299" s="256"/>
      <c r="B299" s="133" t="s">
        <v>113</v>
      </c>
      <c r="C299" s="133" t="s">
        <v>768</v>
      </c>
      <c r="D299" s="133" t="s">
        <v>252</v>
      </c>
      <c r="E299" s="147"/>
      <c r="F299" s="131"/>
      <c r="G299" s="131"/>
      <c r="H299" s="131"/>
    </row>
    <row r="300" spans="1:8" ht="24" hidden="1" customHeight="1" x14ac:dyDescent="0.2">
      <c r="A300" s="257"/>
      <c r="B300" s="133" t="s">
        <v>113</v>
      </c>
      <c r="C300" s="133" t="s">
        <v>768</v>
      </c>
      <c r="D300" s="133" t="s">
        <v>252</v>
      </c>
      <c r="E300" s="133"/>
      <c r="F300" s="357"/>
      <c r="G300" s="357"/>
      <c r="H300" s="357"/>
    </row>
    <row r="301" spans="1:8" ht="25.5" hidden="1" customHeight="1" x14ac:dyDescent="0.2">
      <c r="A301" s="257"/>
      <c r="B301" s="133" t="s">
        <v>113</v>
      </c>
      <c r="C301" s="133" t="s">
        <v>768</v>
      </c>
      <c r="D301" s="133" t="s">
        <v>252</v>
      </c>
      <c r="E301" s="133"/>
      <c r="F301" s="357"/>
      <c r="G301" s="357"/>
      <c r="H301" s="357"/>
    </row>
    <row r="302" spans="1:8" ht="33.6" customHeight="1" x14ac:dyDescent="0.2">
      <c r="A302" s="257" t="s">
        <v>676</v>
      </c>
      <c r="B302" s="133" t="s">
        <v>113</v>
      </c>
      <c r="C302" s="133" t="s">
        <v>768</v>
      </c>
      <c r="D302" s="133" t="s">
        <v>252</v>
      </c>
      <c r="E302" s="133" t="s">
        <v>677</v>
      </c>
      <c r="F302" s="357">
        <f>F303</f>
        <v>3</v>
      </c>
      <c r="G302" s="357">
        <f>G303</f>
        <v>3</v>
      </c>
      <c r="H302" s="357">
        <f>H303</f>
        <v>3</v>
      </c>
    </row>
    <row r="303" spans="1:8" ht="55.5" customHeight="1" x14ac:dyDescent="0.2">
      <c r="A303" s="257" t="s">
        <v>678</v>
      </c>
      <c r="B303" s="133" t="s">
        <v>113</v>
      </c>
      <c r="C303" s="133" t="s">
        <v>768</v>
      </c>
      <c r="D303" s="133" t="s">
        <v>252</v>
      </c>
      <c r="E303" s="133" t="s">
        <v>679</v>
      </c>
      <c r="F303" s="357">
        <v>3</v>
      </c>
      <c r="G303" s="357">
        <v>3</v>
      </c>
      <c r="H303" s="357">
        <v>3</v>
      </c>
    </row>
    <row r="304" spans="1:8" ht="68.25" customHeight="1" x14ac:dyDescent="0.2">
      <c r="A304" s="256" t="s">
        <v>1014</v>
      </c>
      <c r="B304" s="147" t="s">
        <v>113</v>
      </c>
      <c r="C304" s="147" t="s">
        <v>768</v>
      </c>
      <c r="D304" s="147" t="s">
        <v>1018</v>
      </c>
      <c r="E304" s="147" t="s">
        <v>222</v>
      </c>
      <c r="F304" s="131">
        <f>F305+F312+F319</f>
        <v>65955.029899999994</v>
      </c>
      <c r="G304" s="131">
        <f t="shared" ref="G304:H304" si="52">G305+G312</f>
        <v>0</v>
      </c>
      <c r="H304" s="131">
        <f t="shared" si="52"/>
        <v>0</v>
      </c>
    </row>
    <row r="305" spans="1:8" s="130" customFormat="1" ht="71.25" customHeight="1" x14ac:dyDescent="0.2">
      <c r="A305" s="256" t="s">
        <v>1109</v>
      </c>
      <c r="B305" s="147" t="s">
        <v>113</v>
      </c>
      <c r="C305" s="147" t="s">
        <v>768</v>
      </c>
      <c r="D305" s="147" t="s">
        <v>1039</v>
      </c>
      <c r="E305" s="147" t="s">
        <v>222</v>
      </c>
      <c r="F305" s="131">
        <f>F306+F309</f>
        <v>5050.5050499999998</v>
      </c>
      <c r="G305" s="131">
        <f t="shared" ref="G305:H305" si="53">G306+G309</f>
        <v>0</v>
      </c>
      <c r="H305" s="131">
        <f t="shared" si="53"/>
        <v>0</v>
      </c>
    </row>
    <row r="306" spans="1:8" ht="90" customHeight="1" x14ac:dyDescent="0.2">
      <c r="A306" s="257" t="s">
        <v>1108</v>
      </c>
      <c r="B306" s="133" t="s">
        <v>113</v>
      </c>
      <c r="C306" s="133" t="s">
        <v>768</v>
      </c>
      <c r="D306" s="133" t="s">
        <v>1013</v>
      </c>
      <c r="E306" s="133" t="s">
        <v>222</v>
      </c>
      <c r="F306" s="357">
        <f>F307</f>
        <v>5000</v>
      </c>
      <c r="G306" s="357">
        <f t="shared" ref="G306:H306" si="54">G307</f>
        <v>0</v>
      </c>
      <c r="H306" s="357">
        <f t="shared" si="54"/>
        <v>0</v>
      </c>
    </row>
    <row r="307" spans="1:8" ht="36.75" customHeight="1" x14ac:dyDescent="0.2">
      <c r="A307" s="257" t="s">
        <v>676</v>
      </c>
      <c r="B307" s="133" t="s">
        <v>113</v>
      </c>
      <c r="C307" s="133" t="s">
        <v>768</v>
      </c>
      <c r="D307" s="133" t="s">
        <v>1013</v>
      </c>
      <c r="E307" s="133" t="s">
        <v>677</v>
      </c>
      <c r="F307" s="357">
        <f>F308</f>
        <v>5000</v>
      </c>
      <c r="G307" s="357">
        <f>'5'!E254</f>
        <v>0</v>
      </c>
      <c r="H307" s="357">
        <f>'5'!F254</f>
        <v>0</v>
      </c>
    </row>
    <row r="308" spans="1:8" ht="48.6" customHeight="1" x14ac:dyDescent="0.2">
      <c r="A308" s="257" t="s">
        <v>678</v>
      </c>
      <c r="B308" s="133" t="s">
        <v>113</v>
      </c>
      <c r="C308" s="133" t="s">
        <v>768</v>
      </c>
      <c r="D308" s="133" t="s">
        <v>1013</v>
      </c>
      <c r="E308" s="133" t="s">
        <v>679</v>
      </c>
      <c r="F308" s="357">
        <f>'5'!D254</f>
        <v>5000</v>
      </c>
      <c r="G308" s="357">
        <f>'5'!E254</f>
        <v>0</v>
      </c>
      <c r="H308" s="357">
        <f>'5'!F254</f>
        <v>0</v>
      </c>
    </row>
    <row r="309" spans="1:8" ht="114.75" customHeight="1" x14ac:dyDescent="0.2">
      <c r="A309" s="257" t="s">
        <v>1078</v>
      </c>
      <c r="B309" s="133" t="s">
        <v>113</v>
      </c>
      <c r="C309" s="133" t="s">
        <v>768</v>
      </c>
      <c r="D309" s="133" t="s">
        <v>1019</v>
      </c>
      <c r="E309" s="133" t="s">
        <v>222</v>
      </c>
      <c r="F309" s="357">
        <f>F310</f>
        <v>50.505049999999997</v>
      </c>
      <c r="G309" s="357">
        <f t="shared" ref="G309:H309" si="55">G310</f>
        <v>0</v>
      </c>
      <c r="H309" s="357">
        <f t="shared" si="55"/>
        <v>0</v>
      </c>
    </row>
    <row r="310" spans="1:8" ht="36" customHeight="1" x14ac:dyDescent="0.2">
      <c r="A310" s="257" t="s">
        <v>676</v>
      </c>
      <c r="B310" s="133" t="s">
        <v>113</v>
      </c>
      <c r="C310" s="133" t="s">
        <v>768</v>
      </c>
      <c r="D310" s="133" t="s">
        <v>1019</v>
      </c>
      <c r="E310" s="133" t="s">
        <v>677</v>
      </c>
      <c r="F310" s="357">
        <f>F311</f>
        <v>50.505049999999997</v>
      </c>
      <c r="G310" s="357">
        <f t="shared" ref="G310:H310" si="56">G311</f>
        <v>0</v>
      </c>
      <c r="H310" s="357">
        <f t="shared" si="56"/>
        <v>0</v>
      </c>
    </row>
    <row r="311" spans="1:8" ht="51" customHeight="1" x14ac:dyDescent="0.2">
      <c r="A311" s="257" t="s">
        <v>678</v>
      </c>
      <c r="B311" s="133" t="s">
        <v>113</v>
      </c>
      <c r="C311" s="133" t="s">
        <v>768</v>
      </c>
      <c r="D311" s="133" t="s">
        <v>1019</v>
      </c>
      <c r="E311" s="133" t="s">
        <v>679</v>
      </c>
      <c r="F311" s="357">
        <f>'5'!D255</f>
        <v>50.505049999999997</v>
      </c>
      <c r="G311" s="357">
        <f>'4'!H256</f>
        <v>0</v>
      </c>
      <c r="H311" s="357">
        <f>'4'!I256</f>
        <v>0</v>
      </c>
    </row>
    <row r="312" spans="1:8" s="130" customFormat="1" ht="67.5" customHeight="1" x14ac:dyDescent="0.2">
      <c r="A312" s="256" t="s">
        <v>1037</v>
      </c>
      <c r="B312" s="147" t="s">
        <v>113</v>
      </c>
      <c r="C312" s="147" t="s">
        <v>768</v>
      </c>
      <c r="D312" s="147" t="s">
        <v>1038</v>
      </c>
      <c r="E312" s="147" t="s">
        <v>222</v>
      </c>
      <c r="F312" s="131">
        <f>F313+F316</f>
        <v>60554.524850000002</v>
      </c>
      <c r="G312" s="131">
        <f t="shared" ref="G312:H312" si="57">G313+G316</f>
        <v>0</v>
      </c>
      <c r="H312" s="131">
        <f t="shared" si="57"/>
        <v>0</v>
      </c>
    </row>
    <row r="313" spans="1:8" ht="168.75" customHeight="1" x14ac:dyDescent="0.2">
      <c r="A313" s="256" t="s">
        <v>1081</v>
      </c>
      <c r="B313" s="133" t="s">
        <v>113</v>
      </c>
      <c r="C313" s="133" t="s">
        <v>768</v>
      </c>
      <c r="D313" s="133" t="s">
        <v>1036</v>
      </c>
      <c r="E313" s="133" t="s">
        <v>222</v>
      </c>
      <c r="F313" s="357">
        <f>F314</f>
        <v>59948.979599999999</v>
      </c>
      <c r="G313" s="357">
        <f t="shared" ref="G313:H314" si="58">G314</f>
        <v>0</v>
      </c>
      <c r="H313" s="357">
        <f t="shared" si="58"/>
        <v>0</v>
      </c>
    </row>
    <row r="314" spans="1:8" ht="36" customHeight="1" x14ac:dyDescent="0.2">
      <c r="A314" s="257" t="s">
        <v>676</v>
      </c>
      <c r="B314" s="133" t="s">
        <v>113</v>
      </c>
      <c r="C314" s="133" t="s">
        <v>768</v>
      </c>
      <c r="D314" s="133" t="s">
        <v>1036</v>
      </c>
      <c r="E314" s="133" t="s">
        <v>677</v>
      </c>
      <c r="F314" s="357">
        <f>F315</f>
        <v>59948.979599999999</v>
      </c>
      <c r="G314" s="357">
        <f t="shared" si="58"/>
        <v>0</v>
      </c>
      <c r="H314" s="357">
        <f t="shared" si="58"/>
        <v>0</v>
      </c>
    </row>
    <row r="315" spans="1:8" ht="48.6" customHeight="1" x14ac:dyDescent="0.2">
      <c r="A315" s="257" t="s">
        <v>678</v>
      </c>
      <c r="B315" s="133" t="s">
        <v>113</v>
      </c>
      <c r="C315" s="133" t="s">
        <v>768</v>
      </c>
      <c r="D315" s="133" t="s">
        <v>1036</v>
      </c>
      <c r="E315" s="133" t="s">
        <v>679</v>
      </c>
      <c r="F315" s="357">
        <f>'5'!D252</f>
        <v>59948.979599999999</v>
      </c>
      <c r="G315" s="357">
        <f>'5'!E252</f>
        <v>0</v>
      </c>
      <c r="H315" s="357">
        <f>'5'!F252</f>
        <v>0</v>
      </c>
    </row>
    <row r="316" spans="1:8" ht="162.75" customHeight="1" x14ac:dyDescent="0.2">
      <c r="A316" s="256" t="s">
        <v>1084</v>
      </c>
      <c r="B316" s="133" t="s">
        <v>113</v>
      </c>
      <c r="C316" s="133" t="s">
        <v>768</v>
      </c>
      <c r="D316" s="133" t="s">
        <v>1036</v>
      </c>
      <c r="E316" s="133" t="s">
        <v>222</v>
      </c>
      <c r="F316" s="357">
        <f>F317</f>
        <v>605.54525000000001</v>
      </c>
      <c r="G316" s="357">
        <f t="shared" ref="G316:H317" si="59">G317</f>
        <v>0</v>
      </c>
      <c r="H316" s="357">
        <f t="shared" si="59"/>
        <v>0</v>
      </c>
    </row>
    <row r="317" spans="1:8" ht="36.75" customHeight="1" x14ac:dyDescent="0.2">
      <c r="A317" s="257" t="s">
        <v>676</v>
      </c>
      <c r="B317" s="133" t="s">
        <v>113</v>
      </c>
      <c r="C317" s="133" t="s">
        <v>768</v>
      </c>
      <c r="D317" s="133" t="s">
        <v>1036</v>
      </c>
      <c r="E317" s="133" t="s">
        <v>677</v>
      </c>
      <c r="F317" s="357">
        <f>F318</f>
        <v>605.54525000000001</v>
      </c>
      <c r="G317" s="357">
        <f t="shared" si="59"/>
        <v>0</v>
      </c>
      <c r="H317" s="357">
        <f t="shared" si="59"/>
        <v>0</v>
      </c>
    </row>
    <row r="318" spans="1:8" ht="48.6" customHeight="1" x14ac:dyDescent="0.2">
      <c r="A318" s="257" t="s">
        <v>678</v>
      </c>
      <c r="B318" s="133" t="s">
        <v>113</v>
      </c>
      <c r="C318" s="133" t="s">
        <v>768</v>
      </c>
      <c r="D318" s="133" t="s">
        <v>1036</v>
      </c>
      <c r="E318" s="133" t="s">
        <v>679</v>
      </c>
      <c r="F318" s="357">
        <f>'5'!D253</f>
        <v>605.54525000000001</v>
      </c>
      <c r="G318" s="357">
        <f>'5'!E253</f>
        <v>0</v>
      </c>
      <c r="H318" s="357">
        <f>'5'!F253</f>
        <v>0</v>
      </c>
    </row>
    <row r="319" spans="1:8" s="130" customFormat="1" ht="68.25" customHeight="1" x14ac:dyDescent="0.2">
      <c r="A319" s="256" t="s">
        <v>1088</v>
      </c>
      <c r="B319" s="147" t="s">
        <v>113</v>
      </c>
      <c r="C319" s="147" t="s">
        <v>768</v>
      </c>
      <c r="D319" s="147" t="s">
        <v>1087</v>
      </c>
      <c r="E319" s="147" t="s">
        <v>222</v>
      </c>
      <c r="F319" s="131">
        <f>F320</f>
        <v>350</v>
      </c>
      <c r="G319" s="131">
        <f t="shared" ref="G319:H319" si="60">G320</f>
        <v>0</v>
      </c>
      <c r="H319" s="131">
        <f t="shared" si="60"/>
        <v>0</v>
      </c>
    </row>
    <row r="320" spans="1:8" ht="32.25" customHeight="1" x14ac:dyDescent="0.2">
      <c r="A320" s="257" t="s">
        <v>676</v>
      </c>
      <c r="B320" s="133" t="s">
        <v>113</v>
      </c>
      <c r="C320" s="133" t="s">
        <v>768</v>
      </c>
      <c r="D320" s="133" t="s">
        <v>1087</v>
      </c>
      <c r="E320" s="133" t="s">
        <v>677</v>
      </c>
      <c r="F320" s="357">
        <f>F321</f>
        <v>350</v>
      </c>
      <c r="G320" s="357">
        <f>G321</f>
        <v>0</v>
      </c>
      <c r="H320" s="357">
        <f>H321</f>
        <v>0</v>
      </c>
    </row>
    <row r="321" spans="1:8" ht="48.6" customHeight="1" x14ac:dyDescent="0.2">
      <c r="A321" s="257" t="s">
        <v>678</v>
      </c>
      <c r="B321" s="133" t="s">
        <v>113</v>
      </c>
      <c r="C321" s="133" t="s">
        <v>768</v>
      </c>
      <c r="D321" s="133" t="s">
        <v>1087</v>
      </c>
      <c r="E321" s="133" t="s">
        <v>679</v>
      </c>
      <c r="F321" s="357">
        <f>10+15+125+200</f>
        <v>350</v>
      </c>
      <c r="G321" s="357">
        <v>0</v>
      </c>
      <c r="H321" s="357">
        <v>0</v>
      </c>
    </row>
    <row r="322" spans="1:8" s="150" customFormat="1" ht="32.25" customHeight="1" x14ac:dyDescent="0.25">
      <c r="A322" s="260" t="s">
        <v>772</v>
      </c>
      <c r="B322" s="118" t="s">
        <v>685</v>
      </c>
      <c r="C322" s="118" t="s">
        <v>109</v>
      </c>
      <c r="D322" s="118" t="s">
        <v>666</v>
      </c>
      <c r="E322" s="118" t="s">
        <v>222</v>
      </c>
      <c r="F322" s="119">
        <f>F323+F370+F355</f>
        <v>2986.8384874747476</v>
      </c>
      <c r="G322" s="119">
        <f>G323+G370+G355</f>
        <v>1646.3073200000001</v>
      </c>
      <c r="H322" s="119">
        <f>H323+H370+H355</f>
        <v>1646.40362</v>
      </c>
    </row>
    <row r="323" spans="1:8" s="151" customFormat="1" ht="16.5" customHeight="1" x14ac:dyDescent="0.2">
      <c r="A323" s="249" t="s">
        <v>773</v>
      </c>
      <c r="B323" s="122" t="s">
        <v>685</v>
      </c>
      <c r="C323" s="122" t="s">
        <v>668</v>
      </c>
      <c r="D323" s="122" t="s">
        <v>666</v>
      </c>
      <c r="E323" s="122" t="s">
        <v>222</v>
      </c>
      <c r="F323" s="123">
        <f>F324+F334+F337+F347+F352+F331</f>
        <v>2544.5237474747478</v>
      </c>
      <c r="G323" s="123">
        <f>G324+G334+G337+G347+G352</f>
        <v>1203.9000000000001</v>
      </c>
      <c r="H323" s="123">
        <f>H324+H334+H337+H347+H352</f>
        <v>1203.9000000000001</v>
      </c>
    </row>
    <row r="324" spans="1:8" ht="17.25" customHeight="1" x14ac:dyDescent="0.2">
      <c r="A324" s="250" t="s">
        <v>774</v>
      </c>
      <c r="B324" s="127" t="s">
        <v>685</v>
      </c>
      <c r="C324" s="127" t="s">
        <v>668</v>
      </c>
      <c r="D324" s="127" t="s">
        <v>17</v>
      </c>
      <c r="E324" s="127" t="s">
        <v>222</v>
      </c>
      <c r="F324" s="128">
        <f>F325+F328</f>
        <v>1063.9000000000001</v>
      </c>
      <c r="G324" s="128">
        <f>G325+G328</f>
        <v>1063.9000000000001</v>
      </c>
      <c r="H324" s="128">
        <f>H325+H328</f>
        <v>1063.9000000000001</v>
      </c>
    </row>
    <row r="325" spans="1:8" ht="33.75" hidden="1" customHeight="1" x14ac:dyDescent="0.2">
      <c r="A325" s="250" t="s">
        <v>315</v>
      </c>
      <c r="B325" s="127" t="s">
        <v>685</v>
      </c>
      <c r="C325" s="127" t="s">
        <v>668</v>
      </c>
      <c r="D325" s="127" t="s">
        <v>17</v>
      </c>
      <c r="E325" s="127" t="s">
        <v>222</v>
      </c>
      <c r="F325" s="128">
        <f t="shared" ref="F325:H326" si="61">F326</f>
        <v>0</v>
      </c>
      <c r="G325" s="128">
        <f t="shared" si="61"/>
        <v>0</v>
      </c>
      <c r="H325" s="128">
        <f t="shared" si="61"/>
        <v>0</v>
      </c>
    </row>
    <row r="326" spans="1:8" ht="33.75" hidden="1" customHeight="1" x14ac:dyDescent="0.2">
      <c r="A326" s="250" t="s">
        <v>676</v>
      </c>
      <c r="B326" s="127" t="s">
        <v>685</v>
      </c>
      <c r="C326" s="127" t="s">
        <v>668</v>
      </c>
      <c r="D326" s="127" t="s">
        <v>17</v>
      </c>
      <c r="E326" s="127" t="s">
        <v>677</v>
      </c>
      <c r="F326" s="128">
        <f t="shared" si="61"/>
        <v>0</v>
      </c>
      <c r="G326" s="128">
        <f t="shared" si="61"/>
        <v>0</v>
      </c>
      <c r="H326" s="128">
        <f t="shared" si="61"/>
        <v>0</v>
      </c>
    </row>
    <row r="327" spans="1:8" ht="48.75" hidden="1" customHeight="1" x14ac:dyDescent="0.2">
      <c r="A327" s="250" t="s">
        <v>678</v>
      </c>
      <c r="B327" s="127" t="s">
        <v>685</v>
      </c>
      <c r="C327" s="127" t="s">
        <v>668</v>
      </c>
      <c r="D327" s="127" t="s">
        <v>17</v>
      </c>
      <c r="E327" s="127" t="s">
        <v>679</v>
      </c>
      <c r="F327" s="128">
        <v>0</v>
      </c>
      <c r="G327" s="128">
        <v>0</v>
      </c>
      <c r="H327" s="128">
        <v>0</v>
      </c>
    </row>
    <row r="328" spans="1:8" ht="33" customHeight="1" x14ac:dyDescent="0.2">
      <c r="A328" s="250" t="s">
        <v>257</v>
      </c>
      <c r="B328" s="127" t="s">
        <v>685</v>
      </c>
      <c r="C328" s="127" t="s">
        <v>668</v>
      </c>
      <c r="D328" s="127" t="s">
        <v>74</v>
      </c>
      <c r="E328" s="127" t="s">
        <v>222</v>
      </c>
      <c r="F328" s="128">
        <f t="shared" ref="F328:H329" si="62">F329</f>
        <v>1063.9000000000001</v>
      </c>
      <c r="G328" s="128">
        <f t="shared" si="62"/>
        <v>1063.9000000000001</v>
      </c>
      <c r="H328" s="128">
        <f t="shared" si="62"/>
        <v>1063.9000000000001</v>
      </c>
    </row>
    <row r="329" spans="1:8" ht="31.5" customHeight="1" x14ac:dyDescent="0.2">
      <c r="A329" s="250" t="s">
        <v>676</v>
      </c>
      <c r="B329" s="127" t="s">
        <v>685</v>
      </c>
      <c r="C329" s="127" t="s">
        <v>668</v>
      </c>
      <c r="D329" s="127" t="s">
        <v>74</v>
      </c>
      <c r="E329" s="127" t="s">
        <v>677</v>
      </c>
      <c r="F329" s="128">
        <f t="shared" si="62"/>
        <v>1063.9000000000001</v>
      </c>
      <c r="G329" s="128">
        <f t="shared" si="62"/>
        <v>1063.9000000000001</v>
      </c>
      <c r="H329" s="128">
        <f t="shared" si="62"/>
        <v>1063.9000000000001</v>
      </c>
    </row>
    <row r="330" spans="1:8" ht="50.25" customHeight="1" x14ac:dyDescent="0.2">
      <c r="A330" s="250" t="s">
        <v>678</v>
      </c>
      <c r="B330" s="127" t="s">
        <v>685</v>
      </c>
      <c r="C330" s="127" t="s">
        <v>668</v>
      </c>
      <c r="D330" s="127" t="s">
        <v>74</v>
      </c>
      <c r="E330" s="127" t="s">
        <v>679</v>
      </c>
      <c r="F330" s="128">
        <f>'5'!D283</f>
        <v>1063.9000000000001</v>
      </c>
      <c r="G330" s="128">
        <f>'5'!E283</f>
        <v>1063.9000000000001</v>
      </c>
      <c r="H330" s="128">
        <f>'5'!F283</f>
        <v>1063.9000000000001</v>
      </c>
    </row>
    <row r="331" spans="1:8" s="130" customFormat="1" ht="20.25" hidden="1" customHeight="1" x14ac:dyDescent="0.2">
      <c r="A331" s="256" t="s">
        <v>213</v>
      </c>
      <c r="B331" s="133" t="s">
        <v>685</v>
      </c>
      <c r="C331" s="133" t="s">
        <v>668</v>
      </c>
      <c r="D331" s="133" t="s">
        <v>19</v>
      </c>
      <c r="E331" s="133" t="s">
        <v>222</v>
      </c>
      <c r="F331" s="131">
        <f t="shared" ref="F331:H332" si="63">F332</f>
        <v>0</v>
      </c>
      <c r="G331" s="129">
        <f t="shared" si="63"/>
        <v>0</v>
      </c>
      <c r="H331" s="129">
        <f t="shared" si="63"/>
        <v>0</v>
      </c>
    </row>
    <row r="332" spans="1:8" ht="48" hidden="1" customHeight="1" x14ac:dyDescent="0.2">
      <c r="A332" s="250" t="s">
        <v>676</v>
      </c>
      <c r="B332" s="127" t="s">
        <v>685</v>
      </c>
      <c r="C332" s="127" t="s">
        <v>668</v>
      </c>
      <c r="D332" s="127" t="s">
        <v>19</v>
      </c>
      <c r="E332" s="127" t="s">
        <v>677</v>
      </c>
      <c r="F332" s="128">
        <f t="shared" si="63"/>
        <v>0</v>
      </c>
      <c r="G332" s="128">
        <f t="shared" si="63"/>
        <v>0</v>
      </c>
      <c r="H332" s="128">
        <f t="shared" si="63"/>
        <v>0</v>
      </c>
    </row>
    <row r="333" spans="1:8" ht="48" hidden="1" customHeight="1" x14ac:dyDescent="0.2">
      <c r="A333" s="250" t="s">
        <v>678</v>
      </c>
      <c r="B333" s="127" t="s">
        <v>685</v>
      </c>
      <c r="C333" s="127" t="s">
        <v>668</v>
      </c>
      <c r="D333" s="127" t="s">
        <v>19</v>
      </c>
      <c r="E333" s="127" t="s">
        <v>679</v>
      </c>
      <c r="F333" s="357">
        <f>266-266</f>
        <v>0</v>
      </c>
      <c r="G333" s="128">
        <v>0</v>
      </c>
      <c r="H333" s="128">
        <v>0</v>
      </c>
    </row>
    <row r="334" spans="1:8" ht="48" hidden="1" customHeight="1" x14ac:dyDescent="0.2">
      <c r="A334" s="251" t="s">
        <v>401</v>
      </c>
      <c r="B334" s="8" t="s">
        <v>685</v>
      </c>
      <c r="C334" s="8" t="s">
        <v>668</v>
      </c>
      <c r="D334" s="8" t="s">
        <v>402</v>
      </c>
      <c r="E334" s="8" t="s">
        <v>222</v>
      </c>
      <c r="F334" s="129">
        <f t="shared" ref="F334:H335" si="64">F335</f>
        <v>0</v>
      </c>
      <c r="G334" s="129">
        <f t="shared" si="64"/>
        <v>0</v>
      </c>
      <c r="H334" s="129">
        <f t="shared" si="64"/>
        <v>0</v>
      </c>
    </row>
    <row r="335" spans="1:8" ht="36" hidden="1" customHeight="1" x14ac:dyDescent="0.2">
      <c r="A335" s="250" t="s">
        <v>676</v>
      </c>
      <c r="B335" s="127" t="s">
        <v>685</v>
      </c>
      <c r="C335" s="127" t="s">
        <v>668</v>
      </c>
      <c r="D335" s="127" t="s">
        <v>402</v>
      </c>
      <c r="E335" s="127" t="s">
        <v>677</v>
      </c>
      <c r="F335" s="128">
        <f t="shared" si="64"/>
        <v>0</v>
      </c>
      <c r="G335" s="128">
        <f t="shared" si="64"/>
        <v>0</v>
      </c>
      <c r="H335" s="128">
        <f t="shared" si="64"/>
        <v>0</v>
      </c>
    </row>
    <row r="336" spans="1:8" ht="48" hidden="1" customHeight="1" x14ac:dyDescent="0.2">
      <c r="A336" s="250" t="s">
        <v>678</v>
      </c>
      <c r="B336" s="127" t="s">
        <v>685</v>
      </c>
      <c r="C336" s="127" t="s">
        <v>668</v>
      </c>
      <c r="D336" s="127" t="s">
        <v>402</v>
      </c>
      <c r="E336" s="127" t="s">
        <v>679</v>
      </c>
      <c r="F336" s="128"/>
      <c r="G336" s="128"/>
      <c r="H336" s="128"/>
    </row>
    <row r="337" spans="1:8" ht="81.75" customHeight="1" x14ac:dyDescent="0.2">
      <c r="A337" s="251" t="s">
        <v>473</v>
      </c>
      <c r="B337" s="8" t="s">
        <v>685</v>
      </c>
      <c r="C337" s="8" t="s">
        <v>668</v>
      </c>
      <c r="D337" s="8" t="s">
        <v>316</v>
      </c>
      <c r="E337" s="8" t="s">
        <v>222</v>
      </c>
      <c r="F337" s="129">
        <f t="shared" ref="F337:H338" si="65">F338</f>
        <v>1047.0907474747476</v>
      </c>
      <c r="G337" s="129">
        <f t="shared" si="65"/>
        <v>0</v>
      </c>
      <c r="H337" s="129">
        <f t="shared" si="65"/>
        <v>0</v>
      </c>
    </row>
    <row r="338" spans="1:8" ht="63" customHeight="1" x14ac:dyDescent="0.2">
      <c r="A338" s="250" t="s">
        <v>776</v>
      </c>
      <c r="B338" s="127" t="s">
        <v>685</v>
      </c>
      <c r="C338" s="127" t="s">
        <v>668</v>
      </c>
      <c r="D338" s="127" t="s">
        <v>316</v>
      </c>
      <c r="E338" s="127" t="s">
        <v>222</v>
      </c>
      <c r="F338" s="357">
        <f t="shared" si="65"/>
        <v>1047.0907474747476</v>
      </c>
      <c r="G338" s="128">
        <f t="shared" si="65"/>
        <v>0</v>
      </c>
      <c r="H338" s="128">
        <f t="shared" si="65"/>
        <v>0</v>
      </c>
    </row>
    <row r="339" spans="1:8" ht="24" customHeight="1" x14ac:dyDescent="0.2">
      <c r="A339" s="250" t="s">
        <v>680</v>
      </c>
      <c r="B339" s="127" t="s">
        <v>685</v>
      </c>
      <c r="C339" s="127" t="s">
        <v>668</v>
      </c>
      <c r="D339" s="127" t="s">
        <v>316</v>
      </c>
      <c r="E339" s="127" t="s">
        <v>681</v>
      </c>
      <c r="F339" s="357">
        <f>F341+F340</f>
        <v>1047.0907474747476</v>
      </c>
      <c r="G339" s="128">
        <f>G341+G340</f>
        <v>0</v>
      </c>
      <c r="H339" s="128">
        <f>H341+H340</f>
        <v>0</v>
      </c>
    </row>
    <row r="340" spans="1:8" ht="69" customHeight="1" x14ac:dyDescent="0.2">
      <c r="A340" s="250" t="s">
        <v>777</v>
      </c>
      <c r="B340" s="127" t="s">
        <v>685</v>
      </c>
      <c r="C340" s="127" t="s">
        <v>668</v>
      </c>
      <c r="D340" s="127" t="s">
        <v>317</v>
      </c>
      <c r="E340" s="127" t="s">
        <v>760</v>
      </c>
      <c r="F340" s="357">
        <f>'5'!D228</f>
        <v>1036.6198400000001</v>
      </c>
      <c r="G340" s="128">
        <f>'5'!E231</f>
        <v>0</v>
      </c>
      <c r="H340" s="128">
        <f>'5'!F231</f>
        <v>0</v>
      </c>
    </row>
    <row r="341" spans="1:8" ht="69.75" customHeight="1" x14ac:dyDescent="0.2">
      <c r="A341" s="250" t="s">
        <v>778</v>
      </c>
      <c r="B341" s="127" t="s">
        <v>685</v>
      </c>
      <c r="C341" s="127" t="s">
        <v>668</v>
      </c>
      <c r="D341" s="133" t="s">
        <v>563</v>
      </c>
      <c r="E341" s="127" t="s">
        <v>760</v>
      </c>
      <c r="F341" s="357">
        <f>'5'!D229</f>
        <v>10.470907474747476</v>
      </c>
      <c r="G341" s="128">
        <v>0</v>
      </c>
      <c r="H341" s="128">
        <v>0</v>
      </c>
    </row>
    <row r="342" spans="1:8" ht="84.75" hidden="1" customHeight="1" x14ac:dyDescent="0.2">
      <c r="A342" s="251" t="s">
        <v>1120</v>
      </c>
      <c r="B342" s="8" t="s">
        <v>685</v>
      </c>
      <c r="C342" s="8" t="s">
        <v>668</v>
      </c>
      <c r="D342" s="8" t="s">
        <v>316</v>
      </c>
      <c r="E342" s="8" t="s">
        <v>222</v>
      </c>
      <c r="F342" s="131">
        <f>F343</f>
        <v>0</v>
      </c>
      <c r="G342" s="129">
        <f t="shared" ref="G342:H342" si="66">G343</f>
        <v>60.606059999999999</v>
      </c>
      <c r="H342" s="129">
        <f t="shared" si="66"/>
        <v>60.606059999999999</v>
      </c>
    </row>
    <row r="343" spans="1:8" ht="69.75" hidden="1" customHeight="1" x14ac:dyDescent="0.2">
      <c r="A343" s="250" t="s">
        <v>776</v>
      </c>
      <c r="B343" s="127" t="s">
        <v>685</v>
      </c>
      <c r="C343" s="127" t="s">
        <v>668</v>
      </c>
      <c r="D343" s="127" t="s">
        <v>316</v>
      </c>
      <c r="E343" s="127" t="s">
        <v>222</v>
      </c>
      <c r="F343" s="128">
        <f>F344</f>
        <v>0</v>
      </c>
      <c r="G343" s="128">
        <f>G344</f>
        <v>60.606059999999999</v>
      </c>
      <c r="H343" s="128">
        <f t="shared" ref="H343" si="67">H344</f>
        <v>60.606059999999999</v>
      </c>
    </row>
    <row r="344" spans="1:8" ht="27.75" hidden="1" customHeight="1" x14ac:dyDescent="0.2">
      <c r="A344" s="250" t="s">
        <v>680</v>
      </c>
      <c r="B344" s="127" t="s">
        <v>685</v>
      </c>
      <c r="C344" s="127" t="s">
        <v>668</v>
      </c>
      <c r="D344" s="127" t="s">
        <v>316</v>
      </c>
      <c r="E344" s="127" t="s">
        <v>681</v>
      </c>
      <c r="F344" s="128">
        <f>F345+F346</f>
        <v>0</v>
      </c>
      <c r="G344" s="128">
        <f t="shared" ref="G344:H344" si="68">G345+G346</f>
        <v>60.606059999999999</v>
      </c>
      <c r="H344" s="128">
        <f t="shared" si="68"/>
        <v>60.606059999999999</v>
      </c>
    </row>
    <row r="345" spans="1:8" ht="69.75" hidden="1" customHeight="1" x14ac:dyDescent="0.2">
      <c r="A345" s="250" t="s">
        <v>777</v>
      </c>
      <c r="B345" s="127" t="s">
        <v>685</v>
      </c>
      <c r="C345" s="127" t="s">
        <v>668</v>
      </c>
      <c r="D345" s="127" t="s">
        <v>317</v>
      </c>
      <c r="E345" s="127" t="s">
        <v>760</v>
      </c>
      <c r="F345" s="357">
        <v>0</v>
      </c>
      <c r="G345" s="128">
        <v>0</v>
      </c>
      <c r="H345" s="128">
        <v>0</v>
      </c>
    </row>
    <row r="346" spans="1:8" ht="69.75" hidden="1" customHeight="1" x14ac:dyDescent="0.2">
      <c r="A346" s="250" t="s">
        <v>778</v>
      </c>
      <c r="B346" s="127" t="s">
        <v>685</v>
      </c>
      <c r="C346" s="127" t="s">
        <v>668</v>
      </c>
      <c r="D346" s="133" t="s">
        <v>563</v>
      </c>
      <c r="E346" s="127" t="s">
        <v>760</v>
      </c>
      <c r="F346" s="128">
        <v>0</v>
      </c>
      <c r="G346" s="128">
        <v>60.606059999999999</v>
      </c>
      <c r="H346" s="128">
        <v>60.606059999999999</v>
      </c>
    </row>
    <row r="347" spans="1:8" ht="33" customHeight="1" x14ac:dyDescent="0.2">
      <c r="A347" s="251" t="s">
        <v>669</v>
      </c>
      <c r="B347" s="8" t="s">
        <v>685</v>
      </c>
      <c r="C347" s="8" t="s">
        <v>668</v>
      </c>
      <c r="D347" s="8" t="s">
        <v>5</v>
      </c>
      <c r="E347" s="8" t="s">
        <v>222</v>
      </c>
      <c r="F347" s="129">
        <f t="shared" ref="F347:H350" si="69">F348</f>
        <v>120</v>
      </c>
      <c r="G347" s="129">
        <f t="shared" si="69"/>
        <v>120</v>
      </c>
      <c r="H347" s="129">
        <f t="shared" si="69"/>
        <v>120</v>
      </c>
    </row>
    <row r="348" spans="1:8" ht="54" customHeight="1" x14ac:dyDescent="0.2">
      <c r="A348" s="250" t="s">
        <v>110</v>
      </c>
      <c r="B348" s="127" t="s">
        <v>685</v>
      </c>
      <c r="C348" s="127" t="s">
        <v>668</v>
      </c>
      <c r="D348" s="127" t="s">
        <v>6</v>
      </c>
      <c r="E348" s="127" t="s">
        <v>222</v>
      </c>
      <c r="F348" s="128">
        <f t="shared" si="69"/>
        <v>120</v>
      </c>
      <c r="G348" s="128">
        <f t="shared" si="69"/>
        <v>120</v>
      </c>
      <c r="H348" s="128">
        <f t="shared" si="69"/>
        <v>120</v>
      </c>
    </row>
    <row r="349" spans="1:8" ht="123.75" customHeight="1" x14ac:dyDescent="0.2">
      <c r="A349" s="258" t="s">
        <v>318</v>
      </c>
      <c r="B349" s="135" t="s">
        <v>685</v>
      </c>
      <c r="C349" s="135" t="s">
        <v>668</v>
      </c>
      <c r="D349" s="135" t="s">
        <v>319</v>
      </c>
      <c r="E349" s="135" t="s">
        <v>222</v>
      </c>
      <c r="F349" s="136">
        <f t="shared" si="69"/>
        <v>120</v>
      </c>
      <c r="G349" s="136">
        <f t="shared" si="69"/>
        <v>120</v>
      </c>
      <c r="H349" s="136">
        <f t="shared" si="69"/>
        <v>120</v>
      </c>
    </row>
    <row r="350" spans="1:8" ht="36" customHeight="1" x14ac:dyDescent="0.2">
      <c r="A350" s="250" t="s">
        <v>676</v>
      </c>
      <c r="B350" s="127" t="s">
        <v>685</v>
      </c>
      <c r="C350" s="127" t="s">
        <v>668</v>
      </c>
      <c r="D350" s="127" t="s">
        <v>319</v>
      </c>
      <c r="E350" s="127" t="s">
        <v>677</v>
      </c>
      <c r="F350" s="128">
        <f t="shared" si="69"/>
        <v>120</v>
      </c>
      <c r="G350" s="128">
        <f t="shared" si="69"/>
        <v>120</v>
      </c>
      <c r="H350" s="128">
        <f t="shared" si="69"/>
        <v>120</v>
      </c>
    </row>
    <row r="351" spans="1:8" ht="52.5" customHeight="1" x14ac:dyDescent="0.2">
      <c r="A351" s="250" t="s">
        <v>678</v>
      </c>
      <c r="B351" s="127" t="s">
        <v>685</v>
      </c>
      <c r="C351" s="127" t="s">
        <v>668</v>
      </c>
      <c r="D351" s="127" t="s">
        <v>319</v>
      </c>
      <c r="E351" s="127" t="s">
        <v>679</v>
      </c>
      <c r="F351" s="128">
        <f>'5'!D299</f>
        <v>120</v>
      </c>
      <c r="G351" s="128">
        <f>'5'!E299</f>
        <v>120</v>
      </c>
      <c r="H351" s="128">
        <f>'5'!F299</f>
        <v>120</v>
      </c>
    </row>
    <row r="352" spans="1:8" s="130" customFormat="1" ht="96.75" customHeight="1" x14ac:dyDescent="0.2">
      <c r="A352" s="251" t="s">
        <v>779</v>
      </c>
      <c r="B352" s="8" t="s">
        <v>685</v>
      </c>
      <c r="C352" s="8" t="s">
        <v>668</v>
      </c>
      <c r="D352" s="8" t="s">
        <v>284</v>
      </c>
      <c r="E352" s="8" t="s">
        <v>222</v>
      </c>
      <c r="F352" s="129">
        <f t="shared" ref="F352:H353" si="70">F353</f>
        <v>313.53300000000002</v>
      </c>
      <c r="G352" s="129">
        <f t="shared" si="70"/>
        <v>20</v>
      </c>
      <c r="H352" s="129">
        <f t="shared" si="70"/>
        <v>20</v>
      </c>
    </row>
    <row r="353" spans="1:8" ht="36.75" customHeight="1" x14ac:dyDescent="0.2">
      <c r="A353" s="250" t="s">
        <v>676</v>
      </c>
      <c r="B353" s="127" t="s">
        <v>685</v>
      </c>
      <c r="C353" s="127" t="s">
        <v>668</v>
      </c>
      <c r="D353" s="127" t="s">
        <v>365</v>
      </c>
      <c r="E353" s="127" t="s">
        <v>677</v>
      </c>
      <c r="F353" s="128">
        <f t="shared" si="70"/>
        <v>313.53300000000002</v>
      </c>
      <c r="G353" s="128">
        <f t="shared" si="70"/>
        <v>20</v>
      </c>
      <c r="H353" s="128">
        <f t="shared" si="70"/>
        <v>20</v>
      </c>
    </row>
    <row r="354" spans="1:8" ht="52.5" customHeight="1" x14ac:dyDescent="0.2">
      <c r="A354" s="250" t="s">
        <v>678</v>
      </c>
      <c r="B354" s="127" t="s">
        <v>685</v>
      </c>
      <c r="C354" s="127" t="s">
        <v>668</v>
      </c>
      <c r="D354" s="127" t="s">
        <v>365</v>
      </c>
      <c r="E354" s="127" t="s">
        <v>679</v>
      </c>
      <c r="F354" s="128">
        <f>'5'!D212</f>
        <v>313.53300000000002</v>
      </c>
      <c r="G354" s="128">
        <f>'5'!E212</f>
        <v>20</v>
      </c>
      <c r="H354" s="128">
        <f>'5'!F212</f>
        <v>20</v>
      </c>
    </row>
    <row r="355" spans="1:8" s="130" customFormat="1" ht="21" customHeight="1" x14ac:dyDescent="0.2">
      <c r="A355" s="249" t="s">
        <v>780</v>
      </c>
      <c r="B355" s="122" t="s">
        <v>685</v>
      </c>
      <c r="C355" s="122" t="s">
        <v>111</v>
      </c>
      <c r="D355" s="122" t="s">
        <v>666</v>
      </c>
      <c r="E355" s="122" t="s">
        <v>222</v>
      </c>
      <c r="F355" s="123">
        <f>F356+F359+F364+F367</f>
        <v>440</v>
      </c>
      <c r="G355" s="123">
        <f t="shared" ref="G355:H355" si="71">G356+G359+G364+G367</f>
        <v>440</v>
      </c>
      <c r="H355" s="123">
        <f t="shared" si="71"/>
        <v>440</v>
      </c>
    </row>
    <row r="356" spans="1:8" ht="17.25" customHeight="1" x14ac:dyDescent="0.2">
      <c r="A356" s="251" t="s">
        <v>212</v>
      </c>
      <c r="B356" s="8" t="s">
        <v>685</v>
      </c>
      <c r="C356" s="8" t="s">
        <v>111</v>
      </c>
      <c r="D356" s="8" t="s">
        <v>18</v>
      </c>
      <c r="E356" s="8" t="s">
        <v>222</v>
      </c>
      <c r="F356" s="129">
        <f t="shared" ref="F356:H357" si="72">F357</f>
        <v>90</v>
      </c>
      <c r="G356" s="129">
        <f t="shared" si="72"/>
        <v>90</v>
      </c>
      <c r="H356" s="129">
        <f t="shared" si="72"/>
        <v>90</v>
      </c>
    </row>
    <row r="357" spans="1:8" ht="34.5" customHeight="1" x14ac:dyDescent="0.2">
      <c r="A357" s="250" t="s">
        <v>676</v>
      </c>
      <c r="B357" s="127" t="s">
        <v>685</v>
      </c>
      <c r="C357" s="127" t="s">
        <v>111</v>
      </c>
      <c r="D357" s="127" t="s">
        <v>18</v>
      </c>
      <c r="E357" s="127" t="s">
        <v>677</v>
      </c>
      <c r="F357" s="128">
        <f t="shared" si="72"/>
        <v>90</v>
      </c>
      <c r="G357" s="128">
        <f t="shared" si="72"/>
        <v>90</v>
      </c>
      <c r="H357" s="128">
        <f t="shared" si="72"/>
        <v>90</v>
      </c>
    </row>
    <row r="358" spans="1:8" ht="49.5" customHeight="1" x14ac:dyDescent="0.2">
      <c r="A358" s="250" t="s">
        <v>678</v>
      </c>
      <c r="B358" s="127" t="s">
        <v>685</v>
      </c>
      <c r="C358" s="127" t="s">
        <v>111</v>
      </c>
      <c r="D358" s="127" t="s">
        <v>18</v>
      </c>
      <c r="E358" s="127" t="s">
        <v>679</v>
      </c>
      <c r="F358" s="357">
        <f>'5'!D277</f>
        <v>90</v>
      </c>
      <c r="G358" s="357">
        <f>'5'!E277</f>
        <v>90</v>
      </c>
      <c r="H358" s="357">
        <f>'5'!F277</f>
        <v>90</v>
      </c>
    </row>
    <row r="359" spans="1:8" ht="17.25" customHeight="1" x14ac:dyDescent="0.2">
      <c r="A359" s="250" t="s">
        <v>213</v>
      </c>
      <c r="B359" s="127" t="s">
        <v>685</v>
      </c>
      <c r="C359" s="127" t="s">
        <v>111</v>
      </c>
      <c r="D359" s="127" t="s">
        <v>19</v>
      </c>
      <c r="E359" s="127" t="s">
        <v>222</v>
      </c>
      <c r="F359" s="128">
        <f>F360+F362</f>
        <v>350</v>
      </c>
      <c r="G359" s="128">
        <f>G360+G362</f>
        <v>350</v>
      </c>
      <c r="H359" s="128">
        <f>H360+H362</f>
        <v>350</v>
      </c>
    </row>
    <row r="360" spans="1:8" ht="37.5" customHeight="1" x14ac:dyDescent="0.2">
      <c r="A360" s="250" t="s">
        <v>676</v>
      </c>
      <c r="B360" s="127" t="s">
        <v>685</v>
      </c>
      <c r="C360" s="127" t="s">
        <v>111</v>
      </c>
      <c r="D360" s="127" t="s">
        <v>19</v>
      </c>
      <c r="E360" s="127" t="s">
        <v>677</v>
      </c>
      <c r="F360" s="128">
        <f>F361</f>
        <v>350</v>
      </c>
      <c r="G360" s="128">
        <f>G361</f>
        <v>350</v>
      </c>
      <c r="H360" s="128">
        <f>H361</f>
        <v>350</v>
      </c>
    </row>
    <row r="361" spans="1:8" ht="48" customHeight="1" x14ac:dyDescent="0.2">
      <c r="A361" s="250" t="s">
        <v>678</v>
      </c>
      <c r="B361" s="127" t="s">
        <v>685</v>
      </c>
      <c r="C361" s="127" t="s">
        <v>111</v>
      </c>
      <c r="D361" s="127" t="s">
        <v>19</v>
      </c>
      <c r="E361" s="127" t="s">
        <v>679</v>
      </c>
      <c r="F361" s="14">
        <f>'5'!D280</f>
        <v>350</v>
      </c>
      <c r="G361" s="14">
        <f>'5'!E280</f>
        <v>350</v>
      </c>
      <c r="H361" s="14">
        <f>'5'!F280</f>
        <v>350</v>
      </c>
    </row>
    <row r="362" spans="1:8" ht="48" hidden="1" customHeight="1" x14ac:dyDescent="0.2">
      <c r="A362" s="250" t="s">
        <v>729</v>
      </c>
      <c r="B362" s="127" t="s">
        <v>685</v>
      </c>
      <c r="C362" s="127" t="s">
        <v>111</v>
      </c>
      <c r="D362" s="127" t="s">
        <v>19</v>
      </c>
      <c r="E362" s="127" t="s">
        <v>730</v>
      </c>
      <c r="F362" s="128">
        <f>F363</f>
        <v>0</v>
      </c>
      <c r="G362" s="128">
        <f>G363</f>
        <v>0</v>
      </c>
      <c r="H362" s="128">
        <f>H363</f>
        <v>0</v>
      </c>
    </row>
    <row r="363" spans="1:8" ht="16.899999999999999" hidden="1" customHeight="1" x14ac:dyDescent="0.2">
      <c r="A363" s="250" t="s">
        <v>731</v>
      </c>
      <c r="B363" s="127" t="s">
        <v>685</v>
      </c>
      <c r="C363" s="127" t="s">
        <v>111</v>
      </c>
      <c r="D363" s="127" t="s">
        <v>19</v>
      </c>
      <c r="E363" s="127" t="s">
        <v>732</v>
      </c>
      <c r="F363" s="128"/>
      <c r="G363" s="128"/>
      <c r="H363" s="128"/>
    </row>
    <row r="364" spans="1:8" ht="112.5" hidden="1" customHeight="1" x14ac:dyDescent="0.2">
      <c r="A364" s="256" t="s">
        <v>644</v>
      </c>
      <c r="B364" s="147" t="s">
        <v>685</v>
      </c>
      <c r="C364" s="147" t="s">
        <v>111</v>
      </c>
      <c r="D364" s="147" t="s">
        <v>659</v>
      </c>
      <c r="E364" s="147" t="s">
        <v>222</v>
      </c>
      <c r="F364" s="131">
        <f>F365</f>
        <v>0</v>
      </c>
      <c r="G364" s="131">
        <f t="shared" ref="G364:H365" si="73">G365</f>
        <v>0</v>
      </c>
      <c r="H364" s="131">
        <f t="shared" si="73"/>
        <v>0</v>
      </c>
    </row>
    <row r="365" spans="1:8" ht="35.25" hidden="1" customHeight="1" x14ac:dyDescent="0.2">
      <c r="A365" s="250" t="s">
        <v>676</v>
      </c>
      <c r="B365" s="127" t="s">
        <v>685</v>
      </c>
      <c r="C365" s="127" t="s">
        <v>111</v>
      </c>
      <c r="D365" s="127" t="s">
        <v>659</v>
      </c>
      <c r="E365" s="127" t="s">
        <v>677</v>
      </c>
      <c r="F365" s="357">
        <f>F366</f>
        <v>0</v>
      </c>
      <c r="G365" s="128">
        <f t="shared" si="73"/>
        <v>0</v>
      </c>
      <c r="H365" s="128">
        <f t="shared" si="73"/>
        <v>0</v>
      </c>
    </row>
    <row r="366" spans="1:8" ht="49.5" hidden="1" customHeight="1" x14ac:dyDescent="0.2">
      <c r="A366" s="250" t="s">
        <v>678</v>
      </c>
      <c r="B366" s="127" t="s">
        <v>685</v>
      </c>
      <c r="C366" s="127" t="s">
        <v>111</v>
      </c>
      <c r="D366" s="127" t="s">
        <v>659</v>
      </c>
      <c r="E366" s="127" t="s">
        <v>679</v>
      </c>
      <c r="F366" s="357">
        <f>'5'!D278</f>
        <v>0</v>
      </c>
      <c r="G366" s="128">
        <f>'5'!E278</f>
        <v>0</v>
      </c>
      <c r="H366" s="128">
        <f>'5'!F278</f>
        <v>0</v>
      </c>
    </row>
    <row r="367" spans="1:8" ht="116.25" hidden="1" customHeight="1" x14ac:dyDescent="0.2">
      <c r="A367" s="256" t="s">
        <v>1003</v>
      </c>
      <c r="B367" s="8" t="s">
        <v>685</v>
      </c>
      <c r="C367" s="8" t="s">
        <v>111</v>
      </c>
      <c r="D367" s="156" t="s">
        <v>660</v>
      </c>
      <c r="E367" s="147" t="s">
        <v>222</v>
      </c>
      <c r="F367" s="131">
        <f>F368</f>
        <v>0</v>
      </c>
      <c r="G367" s="129">
        <f t="shared" ref="G367:H368" si="74">G368</f>
        <v>0</v>
      </c>
      <c r="H367" s="129">
        <f t="shared" si="74"/>
        <v>0</v>
      </c>
    </row>
    <row r="368" spans="1:8" ht="35.25" hidden="1" customHeight="1" x14ac:dyDescent="0.2">
      <c r="A368" s="250" t="s">
        <v>676</v>
      </c>
      <c r="B368" s="127" t="s">
        <v>685</v>
      </c>
      <c r="C368" s="127" t="s">
        <v>111</v>
      </c>
      <c r="D368" s="141" t="s">
        <v>660</v>
      </c>
      <c r="E368" s="127" t="s">
        <v>677</v>
      </c>
      <c r="F368" s="357">
        <f>F369</f>
        <v>0</v>
      </c>
      <c r="G368" s="128">
        <f t="shared" si="74"/>
        <v>0</v>
      </c>
      <c r="H368" s="128">
        <f t="shared" si="74"/>
        <v>0</v>
      </c>
    </row>
    <row r="369" spans="1:8" ht="51.75" hidden="1" customHeight="1" x14ac:dyDescent="0.2">
      <c r="A369" s="250" t="s">
        <v>678</v>
      </c>
      <c r="B369" s="127" t="s">
        <v>685</v>
      </c>
      <c r="C369" s="127" t="s">
        <v>111</v>
      </c>
      <c r="D369" s="141" t="s">
        <v>660</v>
      </c>
      <c r="E369" s="127" t="s">
        <v>679</v>
      </c>
      <c r="F369" s="357">
        <f>'5'!D279</f>
        <v>0</v>
      </c>
      <c r="G369" s="128">
        <f>'5'!E279</f>
        <v>0</v>
      </c>
      <c r="H369" s="128">
        <f>'5'!F279</f>
        <v>0</v>
      </c>
    </row>
    <row r="370" spans="1:8" ht="34.5" customHeight="1" x14ac:dyDescent="0.2">
      <c r="A370" s="249" t="s">
        <v>781</v>
      </c>
      <c r="B370" s="122" t="s">
        <v>685</v>
      </c>
      <c r="C370" s="122" t="s">
        <v>685</v>
      </c>
      <c r="D370" s="122" t="s">
        <v>666</v>
      </c>
      <c r="E370" s="122" t="s">
        <v>222</v>
      </c>
      <c r="F370" s="123">
        <f>F371</f>
        <v>2.31474</v>
      </c>
      <c r="G370" s="123">
        <f>G371</f>
        <v>2.4073199999999999</v>
      </c>
      <c r="H370" s="123">
        <f>H371</f>
        <v>2.5036200000000002</v>
      </c>
    </row>
    <row r="371" spans="1:8" ht="33.75" customHeight="1" x14ac:dyDescent="0.2">
      <c r="A371" s="250" t="s">
        <v>669</v>
      </c>
      <c r="B371" s="127" t="s">
        <v>685</v>
      </c>
      <c r="C371" s="127" t="s">
        <v>685</v>
      </c>
      <c r="D371" s="127" t="s">
        <v>6</v>
      </c>
      <c r="E371" s="127" t="s">
        <v>222</v>
      </c>
      <c r="F371" s="128">
        <f>F378</f>
        <v>2.31474</v>
      </c>
      <c r="G371" s="128">
        <f>G378</f>
        <v>2.4073199999999999</v>
      </c>
      <c r="H371" s="128">
        <f>H378</f>
        <v>2.5036200000000002</v>
      </c>
    </row>
    <row r="372" spans="1:8" s="130" customFormat="1" ht="48" hidden="1" customHeight="1" x14ac:dyDescent="0.2">
      <c r="A372" s="251" t="s">
        <v>110</v>
      </c>
      <c r="B372" s="8" t="s">
        <v>685</v>
      </c>
      <c r="C372" s="8" t="s">
        <v>685</v>
      </c>
      <c r="D372" s="8" t="s">
        <v>9</v>
      </c>
      <c r="E372" s="8" t="s">
        <v>222</v>
      </c>
      <c r="F372" s="129">
        <f>F373</f>
        <v>0</v>
      </c>
      <c r="G372" s="129">
        <f>G373</f>
        <v>0</v>
      </c>
      <c r="H372" s="129">
        <f>H373</f>
        <v>0</v>
      </c>
    </row>
    <row r="373" spans="1:8" ht="48" hidden="1" customHeight="1" x14ac:dyDescent="0.2">
      <c r="A373" s="250" t="s">
        <v>782</v>
      </c>
      <c r="B373" s="127" t="s">
        <v>685</v>
      </c>
      <c r="C373" s="127" t="s">
        <v>685</v>
      </c>
      <c r="D373" s="127" t="s">
        <v>9</v>
      </c>
      <c r="E373" s="127" t="s">
        <v>222</v>
      </c>
      <c r="F373" s="128">
        <f>F374+F376</f>
        <v>0</v>
      </c>
      <c r="G373" s="128">
        <f>G374+G376</f>
        <v>0</v>
      </c>
      <c r="H373" s="128">
        <f>H374+H376</f>
        <v>0</v>
      </c>
    </row>
    <row r="374" spans="1:8" ht="96.75" hidden="1" customHeight="1" x14ac:dyDescent="0.2">
      <c r="A374" s="250" t="s">
        <v>670</v>
      </c>
      <c r="B374" s="127" t="s">
        <v>685</v>
      </c>
      <c r="C374" s="127" t="s">
        <v>685</v>
      </c>
      <c r="D374" s="127" t="s">
        <v>9</v>
      </c>
      <c r="E374" s="127" t="s">
        <v>671</v>
      </c>
      <c r="F374" s="128">
        <f>F375</f>
        <v>0</v>
      </c>
      <c r="G374" s="128">
        <f>G375</f>
        <v>0</v>
      </c>
      <c r="H374" s="128">
        <f>H375</f>
        <v>0</v>
      </c>
    </row>
    <row r="375" spans="1:8" ht="34.5" hidden="1" customHeight="1" x14ac:dyDescent="0.2">
      <c r="A375" s="250" t="s">
        <v>672</v>
      </c>
      <c r="B375" s="127" t="s">
        <v>685</v>
      </c>
      <c r="C375" s="127" t="s">
        <v>685</v>
      </c>
      <c r="D375" s="127" t="s">
        <v>9</v>
      </c>
      <c r="E375" s="127" t="s">
        <v>673</v>
      </c>
      <c r="F375" s="128">
        <v>0</v>
      </c>
      <c r="G375" s="128">
        <v>0</v>
      </c>
      <c r="H375" s="128">
        <v>0</v>
      </c>
    </row>
    <row r="376" spans="1:8" ht="32.25" hidden="1" customHeight="1" x14ac:dyDescent="0.2">
      <c r="A376" s="250" t="s">
        <v>676</v>
      </c>
      <c r="B376" s="127" t="s">
        <v>685</v>
      </c>
      <c r="C376" s="127" t="s">
        <v>685</v>
      </c>
      <c r="D376" s="127" t="s">
        <v>9</v>
      </c>
      <c r="E376" s="127" t="s">
        <v>677</v>
      </c>
      <c r="F376" s="128">
        <f>F377</f>
        <v>0</v>
      </c>
      <c r="G376" s="128">
        <f>G377</f>
        <v>0</v>
      </c>
      <c r="H376" s="128">
        <f>H377</f>
        <v>0</v>
      </c>
    </row>
    <row r="377" spans="1:8" ht="50.25" hidden="1" customHeight="1" x14ac:dyDescent="0.2">
      <c r="A377" s="250" t="s">
        <v>678</v>
      </c>
      <c r="B377" s="127" t="s">
        <v>685</v>
      </c>
      <c r="C377" s="127" t="s">
        <v>685</v>
      </c>
      <c r="D377" s="127" t="s">
        <v>9</v>
      </c>
      <c r="E377" s="127" t="s">
        <v>679</v>
      </c>
      <c r="F377" s="128">
        <v>0</v>
      </c>
      <c r="G377" s="128">
        <v>0</v>
      </c>
      <c r="H377" s="128">
        <v>0</v>
      </c>
    </row>
    <row r="378" spans="1:8" s="130" customFormat="1" ht="84" customHeight="1" x14ac:dyDescent="0.2">
      <c r="A378" s="251" t="s">
        <v>783</v>
      </c>
      <c r="B378" s="8" t="s">
        <v>685</v>
      </c>
      <c r="C378" s="8" t="s">
        <v>685</v>
      </c>
      <c r="D378" s="8" t="s">
        <v>20</v>
      </c>
      <c r="E378" s="8" t="s">
        <v>222</v>
      </c>
      <c r="F378" s="129">
        <f>F379+F381</f>
        <v>2.31474</v>
      </c>
      <c r="G378" s="129">
        <f>G379+G381</f>
        <v>2.4073199999999999</v>
      </c>
      <c r="H378" s="129">
        <f>H379+H381</f>
        <v>2.5036200000000002</v>
      </c>
    </row>
    <row r="379" spans="1:8" ht="95.25" customHeight="1" x14ac:dyDescent="0.2">
      <c r="A379" s="250" t="s">
        <v>784</v>
      </c>
      <c r="B379" s="127" t="s">
        <v>685</v>
      </c>
      <c r="C379" s="127" t="s">
        <v>685</v>
      </c>
      <c r="D379" s="127" t="s">
        <v>20</v>
      </c>
      <c r="E379" s="127" t="s">
        <v>671</v>
      </c>
      <c r="F379" s="128">
        <f>F380</f>
        <v>2.31474</v>
      </c>
      <c r="G379" s="128">
        <f>G380</f>
        <v>2.4073199999999999</v>
      </c>
      <c r="H379" s="128">
        <f>H380</f>
        <v>2.5036200000000002</v>
      </c>
    </row>
    <row r="380" spans="1:8" ht="34.5" customHeight="1" x14ac:dyDescent="0.2">
      <c r="A380" s="250" t="s">
        <v>672</v>
      </c>
      <c r="B380" s="127" t="s">
        <v>685</v>
      </c>
      <c r="C380" s="127" t="s">
        <v>685</v>
      </c>
      <c r="D380" s="127" t="s">
        <v>20</v>
      </c>
      <c r="E380" s="127" t="s">
        <v>673</v>
      </c>
      <c r="F380" s="357">
        <f>'5'!D316</f>
        <v>2.31474</v>
      </c>
      <c r="G380" s="357">
        <f>'5'!E316</f>
        <v>2.4073199999999999</v>
      </c>
      <c r="H380" s="357">
        <f>'5'!F316</f>
        <v>2.5036200000000002</v>
      </c>
    </row>
    <row r="381" spans="1:8" ht="34.5" hidden="1" customHeight="1" x14ac:dyDescent="0.2">
      <c r="A381" s="250" t="s">
        <v>676</v>
      </c>
      <c r="B381" s="127" t="s">
        <v>685</v>
      </c>
      <c r="C381" s="127" t="s">
        <v>685</v>
      </c>
      <c r="D381" s="127" t="s">
        <v>20</v>
      </c>
      <c r="E381" s="127" t="s">
        <v>677</v>
      </c>
      <c r="F381" s="128">
        <f>F382</f>
        <v>0</v>
      </c>
      <c r="G381" s="128">
        <f>G382</f>
        <v>0</v>
      </c>
      <c r="H381" s="128">
        <f>H382</f>
        <v>0</v>
      </c>
    </row>
    <row r="382" spans="1:8" ht="51" hidden="1" customHeight="1" x14ac:dyDescent="0.2">
      <c r="A382" s="250" t="s">
        <v>678</v>
      </c>
      <c r="B382" s="127" t="s">
        <v>685</v>
      </c>
      <c r="C382" s="127" t="s">
        <v>685</v>
      </c>
      <c r="D382" s="127" t="s">
        <v>20</v>
      </c>
      <c r="E382" s="127" t="s">
        <v>679</v>
      </c>
      <c r="F382" s="128"/>
      <c r="G382" s="128"/>
      <c r="H382" s="128"/>
    </row>
    <row r="383" spans="1:8" ht="25.15" customHeight="1" x14ac:dyDescent="0.2">
      <c r="A383" s="260" t="s">
        <v>785</v>
      </c>
      <c r="B383" s="118" t="s">
        <v>687</v>
      </c>
      <c r="C383" s="118" t="s">
        <v>109</v>
      </c>
      <c r="D383" s="118" t="s">
        <v>666</v>
      </c>
      <c r="E383" s="118" t="s">
        <v>222</v>
      </c>
      <c r="F383" s="119">
        <f>F384</f>
        <v>780</v>
      </c>
      <c r="G383" s="119">
        <f t="shared" ref="F383:H388" si="75">G384</f>
        <v>940</v>
      </c>
      <c r="H383" s="119">
        <f t="shared" si="75"/>
        <v>940</v>
      </c>
    </row>
    <row r="384" spans="1:8" ht="43.15" customHeight="1" x14ac:dyDescent="0.2">
      <c r="A384" s="249" t="s">
        <v>786</v>
      </c>
      <c r="B384" s="122" t="s">
        <v>687</v>
      </c>
      <c r="C384" s="122" t="s">
        <v>685</v>
      </c>
      <c r="D384" s="122" t="s">
        <v>666</v>
      </c>
      <c r="E384" s="122" t="s">
        <v>222</v>
      </c>
      <c r="F384" s="123">
        <f>F385</f>
        <v>780</v>
      </c>
      <c r="G384" s="123">
        <f t="shared" si="75"/>
        <v>940</v>
      </c>
      <c r="H384" s="123">
        <f t="shared" si="75"/>
        <v>940</v>
      </c>
    </row>
    <row r="385" spans="1:8" ht="36.6" customHeight="1" x14ac:dyDescent="0.2">
      <c r="A385" s="257" t="s">
        <v>669</v>
      </c>
      <c r="B385" s="133" t="s">
        <v>687</v>
      </c>
      <c r="C385" s="133" t="s">
        <v>685</v>
      </c>
      <c r="D385" s="133" t="s">
        <v>5</v>
      </c>
      <c r="E385" s="133" t="s">
        <v>222</v>
      </c>
      <c r="F385" s="357">
        <f t="shared" si="75"/>
        <v>780</v>
      </c>
      <c r="G385" s="357">
        <f t="shared" si="75"/>
        <v>940</v>
      </c>
      <c r="H385" s="357">
        <f t="shared" si="75"/>
        <v>940</v>
      </c>
    </row>
    <row r="386" spans="1:8" ht="50.45" customHeight="1" x14ac:dyDescent="0.2">
      <c r="A386" s="257" t="s">
        <v>110</v>
      </c>
      <c r="B386" s="133" t="s">
        <v>687</v>
      </c>
      <c r="C386" s="133" t="s">
        <v>685</v>
      </c>
      <c r="D386" s="133" t="s">
        <v>6</v>
      </c>
      <c r="E386" s="133" t="s">
        <v>222</v>
      </c>
      <c r="F386" s="357">
        <f>F389+F392</f>
        <v>780</v>
      </c>
      <c r="G386" s="357">
        <f t="shared" si="75"/>
        <v>940</v>
      </c>
      <c r="H386" s="357">
        <f t="shared" si="75"/>
        <v>940</v>
      </c>
    </row>
    <row r="387" spans="1:8" ht="35.450000000000003" customHeight="1" x14ac:dyDescent="0.2">
      <c r="A387" s="257" t="s">
        <v>787</v>
      </c>
      <c r="B387" s="133" t="s">
        <v>687</v>
      </c>
      <c r="C387" s="133" t="s">
        <v>685</v>
      </c>
      <c r="D387" s="133" t="s">
        <v>588</v>
      </c>
      <c r="E387" s="133" t="s">
        <v>222</v>
      </c>
      <c r="F387" s="357">
        <f t="shared" si="75"/>
        <v>275.39</v>
      </c>
      <c r="G387" s="357">
        <f t="shared" si="75"/>
        <v>940</v>
      </c>
      <c r="H387" s="357">
        <f t="shared" si="75"/>
        <v>940</v>
      </c>
    </row>
    <row r="388" spans="1:8" ht="33" customHeight="1" x14ac:dyDescent="0.2">
      <c r="A388" s="257" t="s">
        <v>676</v>
      </c>
      <c r="B388" s="133" t="s">
        <v>687</v>
      </c>
      <c r="C388" s="133" t="s">
        <v>685</v>
      </c>
      <c r="D388" s="133" t="s">
        <v>588</v>
      </c>
      <c r="E388" s="133" t="s">
        <v>677</v>
      </c>
      <c r="F388" s="357">
        <f t="shared" si="75"/>
        <v>275.39</v>
      </c>
      <c r="G388" s="357">
        <f t="shared" si="75"/>
        <v>940</v>
      </c>
      <c r="H388" s="357">
        <f t="shared" si="75"/>
        <v>940</v>
      </c>
    </row>
    <row r="389" spans="1:8" ht="48.6" customHeight="1" x14ac:dyDescent="0.2">
      <c r="A389" s="257" t="s">
        <v>678</v>
      </c>
      <c r="B389" s="133" t="s">
        <v>687</v>
      </c>
      <c r="C389" s="133" t="s">
        <v>685</v>
      </c>
      <c r="D389" s="133" t="s">
        <v>588</v>
      </c>
      <c r="E389" s="133" t="s">
        <v>679</v>
      </c>
      <c r="F389" s="357">
        <f>'4'!G329</f>
        <v>275.39</v>
      </c>
      <c r="G389" s="357">
        <f>'5'!E304</f>
        <v>940</v>
      </c>
      <c r="H389" s="357">
        <f>'5'!F304</f>
        <v>940</v>
      </c>
    </row>
    <row r="390" spans="1:8" ht="32.25" customHeight="1" x14ac:dyDescent="0.2">
      <c r="A390" s="2" t="s">
        <v>787</v>
      </c>
      <c r="B390" s="4" t="s">
        <v>687</v>
      </c>
      <c r="C390" s="4" t="s">
        <v>685</v>
      </c>
      <c r="D390" s="4" t="s">
        <v>1127</v>
      </c>
      <c r="E390" s="4" t="s">
        <v>222</v>
      </c>
      <c r="F390" s="357">
        <f>F391</f>
        <v>504.61</v>
      </c>
      <c r="G390" s="357">
        <v>0</v>
      </c>
      <c r="H390" s="357">
        <v>0</v>
      </c>
    </row>
    <row r="391" spans="1:8" ht="25.5" customHeight="1" x14ac:dyDescent="0.2">
      <c r="A391" s="2" t="s">
        <v>743</v>
      </c>
      <c r="B391" s="4" t="s">
        <v>687</v>
      </c>
      <c r="C391" s="4" t="s">
        <v>685</v>
      </c>
      <c r="D391" s="4" t="s">
        <v>1127</v>
      </c>
      <c r="E391" s="4" t="s">
        <v>744</v>
      </c>
      <c r="F391" s="357">
        <f>F392</f>
        <v>504.61</v>
      </c>
      <c r="G391" s="357">
        <v>0</v>
      </c>
      <c r="H391" s="357">
        <v>0</v>
      </c>
    </row>
    <row r="392" spans="1:8" ht="25.5" customHeight="1" x14ac:dyDescent="0.2">
      <c r="A392" s="2" t="s">
        <v>175</v>
      </c>
      <c r="B392" s="4" t="s">
        <v>687</v>
      </c>
      <c r="C392" s="4" t="s">
        <v>685</v>
      </c>
      <c r="D392" s="4" t="s">
        <v>1127</v>
      </c>
      <c r="E392" s="4" t="s">
        <v>761</v>
      </c>
      <c r="F392" s="357">
        <f>'4'!G332</f>
        <v>504.61</v>
      </c>
      <c r="G392" s="357">
        <v>0</v>
      </c>
      <c r="H392" s="357">
        <v>0</v>
      </c>
    </row>
    <row r="393" spans="1:8" s="143" customFormat="1" ht="20.25" customHeight="1" x14ac:dyDescent="0.25">
      <c r="A393" s="260" t="s">
        <v>788</v>
      </c>
      <c r="B393" s="118" t="s">
        <v>211</v>
      </c>
      <c r="C393" s="118" t="s">
        <v>109</v>
      </c>
      <c r="D393" s="118" t="s">
        <v>666</v>
      </c>
      <c r="E393" s="118" t="s">
        <v>222</v>
      </c>
      <c r="F393" s="119">
        <f>F394+F423+F508+F557+F574+F592</f>
        <v>695162.05926000001</v>
      </c>
      <c r="G393" s="119">
        <f>G394+G423+G508+G557+G574+G592</f>
        <v>552319.05665000004</v>
      </c>
      <c r="H393" s="119">
        <f>H394+H423+H508+H557+H574+H592</f>
        <v>556076.17182000005</v>
      </c>
    </row>
    <row r="394" spans="1:8" ht="18.75" customHeight="1" x14ac:dyDescent="0.2">
      <c r="A394" s="249" t="s">
        <v>789</v>
      </c>
      <c r="B394" s="122" t="s">
        <v>211</v>
      </c>
      <c r="C394" s="122" t="s">
        <v>108</v>
      </c>
      <c r="D394" s="122" t="s">
        <v>666</v>
      </c>
      <c r="E394" s="122" t="s">
        <v>222</v>
      </c>
      <c r="F394" s="123">
        <f>F395+F405+F414+F418+F411</f>
        <v>104190.29641</v>
      </c>
      <c r="G394" s="123">
        <f t="shared" ref="G394:H394" si="76">G395+G405+G414+G418+G411</f>
        <v>90612.01999999999</v>
      </c>
      <c r="H394" s="123">
        <f t="shared" si="76"/>
        <v>93821.40400000001</v>
      </c>
    </row>
    <row r="395" spans="1:8" s="130" customFormat="1" ht="49.5" customHeight="1" x14ac:dyDescent="0.2">
      <c r="A395" s="251" t="s">
        <v>724</v>
      </c>
      <c r="B395" s="8" t="s">
        <v>211</v>
      </c>
      <c r="C395" s="8" t="s">
        <v>108</v>
      </c>
      <c r="D395" s="8" t="s">
        <v>22</v>
      </c>
      <c r="E395" s="8" t="s">
        <v>222</v>
      </c>
      <c r="F395" s="129">
        <f>F396</f>
        <v>51358.967669999998</v>
      </c>
      <c r="G395" s="129">
        <f t="shared" ref="G395:H395" si="77">G396</f>
        <v>35488.356</v>
      </c>
      <c r="H395" s="129">
        <f t="shared" si="77"/>
        <v>35488.356</v>
      </c>
    </row>
    <row r="396" spans="1:8" ht="48" customHeight="1" x14ac:dyDescent="0.2">
      <c r="A396" s="259" t="s">
        <v>790</v>
      </c>
      <c r="B396" s="127" t="s">
        <v>211</v>
      </c>
      <c r="C396" s="127" t="s">
        <v>108</v>
      </c>
      <c r="D396" s="127" t="s">
        <v>31</v>
      </c>
      <c r="E396" s="127" t="s">
        <v>222</v>
      </c>
      <c r="F396" s="128">
        <f>F397+F399+F402</f>
        <v>51358.967669999998</v>
      </c>
      <c r="G396" s="128">
        <f t="shared" ref="G396:H396" si="78">G397+G399+G402</f>
        <v>35488.356</v>
      </c>
      <c r="H396" s="128">
        <f t="shared" si="78"/>
        <v>35488.356</v>
      </c>
    </row>
    <row r="397" spans="1:8" ht="50.25" customHeight="1" x14ac:dyDescent="0.2">
      <c r="A397" s="250" t="s">
        <v>715</v>
      </c>
      <c r="B397" s="127" t="s">
        <v>211</v>
      </c>
      <c r="C397" s="127" t="s">
        <v>108</v>
      </c>
      <c r="D397" s="127" t="s">
        <v>791</v>
      </c>
      <c r="E397" s="127" t="s">
        <v>714</v>
      </c>
      <c r="F397" s="128">
        <f>F398</f>
        <v>150</v>
      </c>
      <c r="G397" s="128">
        <f>G398</f>
        <v>200</v>
      </c>
      <c r="H397" s="128">
        <f>H398</f>
        <v>200</v>
      </c>
    </row>
    <row r="398" spans="1:8" ht="19.5" customHeight="1" x14ac:dyDescent="0.2">
      <c r="A398" s="250" t="s">
        <v>124</v>
      </c>
      <c r="B398" s="127" t="s">
        <v>211</v>
      </c>
      <c r="C398" s="127" t="s">
        <v>108</v>
      </c>
      <c r="D398" s="127" t="s">
        <v>32</v>
      </c>
      <c r="E398" s="127" t="s">
        <v>165</v>
      </c>
      <c r="F398" s="357">
        <f>'5'!D58</f>
        <v>150</v>
      </c>
      <c r="G398" s="357">
        <f>'5'!E58</f>
        <v>200</v>
      </c>
      <c r="H398" s="357">
        <f>'5'!F58</f>
        <v>200</v>
      </c>
    </row>
    <row r="399" spans="1:8" ht="96" customHeight="1" x14ac:dyDescent="0.2">
      <c r="A399" s="250" t="s">
        <v>792</v>
      </c>
      <c r="B399" s="127" t="s">
        <v>211</v>
      </c>
      <c r="C399" s="127" t="s">
        <v>108</v>
      </c>
      <c r="D399" s="127" t="s">
        <v>791</v>
      </c>
      <c r="E399" s="127" t="s">
        <v>222</v>
      </c>
      <c r="F399" s="357">
        <f t="shared" ref="F399:H400" si="79">F400</f>
        <v>50903.967669999998</v>
      </c>
      <c r="G399" s="128">
        <f t="shared" si="79"/>
        <v>35288.356</v>
      </c>
      <c r="H399" s="128">
        <f t="shared" si="79"/>
        <v>35288.356</v>
      </c>
    </row>
    <row r="400" spans="1:8" ht="48" customHeight="1" x14ac:dyDescent="0.2">
      <c r="A400" s="250" t="s">
        <v>715</v>
      </c>
      <c r="B400" s="127" t="s">
        <v>211</v>
      </c>
      <c r="C400" s="127" t="s">
        <v>108</v>
      </c>
      <c r="D400" s="127" t="s">
        <v>33</v>
      </c>
      <c r="E400" s="127" t="s">
        <v>714</v>
      </c>
      <c r="F400" s="357">
        <f t="shared" si="79"/>
        <v>50903.967669999998</v>
      </c>
      <c r="G400" s="128">
        <f t="shared" si="79"/>
        <v>35288.356</v>
      </c>
      <c r="H400" s="128">
        <f t="shared" si="79"/>
        <v>35288.356</v>
      </c>
    </row>
    <row r="401" spans="1:8" ht="15.75" customHeight="1" x14ac:dyDescent="0.2">
      <c r="A401" s="250" t="s">
        <v>124</v>
      </c>
      <c r="B401" s="127" t="s">
        <v>211</v>
      </c>
      <c r="C401" s="127" t="s">
        <v>108</v>
      </c>
      <c r="D401" s="127" t="s">
        <v>33</v>
      </c>
      <c r="E401" s="127" t="s">
        <v>165</v>
      </c>
      <c r="F401" s="357">
        <f>'5'!D62+'5'!D63</f>
        <v>50903.967669999998</v>
      </c>
      <c r="G401" s="357">
        <f>'5'!E62</f>
        <v>35288.356</v>
      </c>
      <c r="H401" s="357">
        <f>'5'!F62</f>
        <v>35288.356</v>
      </c>
    </row>
    <row r="402" spans="1:8" ht="49.9" customHeight="1" x14ac:dyDescent="0.2">
      <c r="A402" s="257" t="s">
        <v>793</v>
      </c>
      <c r="B402" s="133" t="s">
        <v>211</v>
      </c>
      <c r="C402" s="133" t="s">
        <v>108</v>
      </c>
      <c r="D402" s="133" t="s">
        <v>438</v>
      </c>
      <c r="E402" s="133" t="s">
        <v>222</v>
      </c>
      <c r="F402" s="357">
        <f t="shared" ref="F402:H403" si="80">F403</f>
        <v>305</v>
      </c>
      <c r="G402" s="357">
        <f t="shared" si="80"/>
        <v>0</v>
      </c>
      <c r="H402" s="357">
        <f t="shared" si="80"/>
        <v>0</v>
      </c>
    </row>
    <row r="403" spans="1:8" ht="52.9" customHeight="1" x14ac:dyDescent="0.2">
      <c r="A403" s="257" t="s">
        <v>715</v>
      </c>
      <c r="B403" s="133" t="s">
        <v>211</v>
      </c>
      <c r="C403" s="133" t="s">
        <v>108</v>
      </c>
      <c r="D403" s="133" t="s">
        <v>438</v>
      </c>
      <c r="E403" s="133" t="s">
        <v>714</v>
      </c>
      <c r="F403" s="357">
        <f t="shared" si="80"/>
        <v>305</v>
      </c>
      <c r="G403" s="357">
        <f t="shared" si="80"/>
        <v>0</v>
      </c>
      <c r="H403" s="357">
        <f t="shared" si="80"/>
        <v>0</v>
      </c>
    </row>
    <row r="404" spans="1:8" ht="24.6" customHeight="1" x14ac:dyDescent="0.2">
      <c r="A404" s="257" t="s">
        <v>116</v>
      </c>
      <c r="B404" s="133" t="s">
        <v>211</v>
      </c>
      <c r="C404" s="133" t="s">
        <v>108</v>
      </c>
      <c r="D404" s="133" t="s">
        <v>438</v>
      </c>
      <c r="E404" s="133" t="s">
        <v>165</v>
      </c>
      <c r="F404" s="357">
        <f>'5'!D60</f>
        <v>305</v>
      </c>
      <c r="G404" s="357">
        <f>'5'!E60</f>
        <v>0</v>
      </c>
      <c r="H404" s="357">
        <f>'5'!F60</f>
        <v>0</v>
      </c>
    </row>
    <row r="405" spans="1:8" ht="35.25" customHeight="1" x14ac:dyDescent="0.2">
      <c r="A405" s="258" t="s">
        <v>794</v>
      </c>
      <c r="B405" s="135" t="s">
        <v>211</v>
      </c>
      <c r="C405" s="135" t="s">
        <v>108</v>
      </c>
      <c r="D405" s="135" t="s">
        <v>666</v>
      </c>
      <c r="E405" s="135" t="s">
        <v>222</v>
      </c>
      <c r="F405" s="148">
        <f>F406</f>
        <v>866.90873999999997</v>
      </c>
      <c r="G405" s="136">
        <f t="shared" ref="F405:H407" si="81">G406</f>
        <v>0</v>
      </c>
      <c r="H405" s="136">
        <f t="shared" si="81"/>
        <v>0</v>
      </c>
    </row>
    <row r="406" spans="1:8" ht="30" customHeight="1" x14ac:dyDescent="0.2">
      <c r="A406" s="250" t="s">
        <v>795</v>
      </c>
      <c r="B406" s="127" t="s">
        <v>211</v>
      </c>
      <c r="C406" s="127" t="s">
        <v>108</v>
      </c>
      <c r="D406" s="127" t="s">
        <v>320</v>
      </c>
      <c r="E406" s="127" t="s">
        <v>222</v>
      </c>
      <c r="F406" s="357">
        <f t="shared" si="81"/>
        <v>866.90873999999997</v>
      </c>
      <c r="G406" s="128">
        <f t="shared" si="81"/>
        <v>0</v>
      </c>
      <c r="H406" s="128">
        <f t="shared" si="81"/>
        <v>0</v>
      </c>
    </row>
    <row r="407" spans="1:8" ht="51" customHeight="1" x14ac:dyDescent="0.2">
      <c r="A407" s="250" t="s">
        <v>715</v>
      </c>
      <c r="B407" s="127" t="s">
        <v>211</v>
      </c>
      <c r="C407" s="127" t="s">
        <v>108</v>
      </c>
      <c r="D407" s="127" t="s">
        <v>320</v>
      </c>
      <c r="E407" s="127" t="s">
        <v>714</v>
      </c>
      <c r="F407" s="357">
        <f t="shared" si="81"/>
        <v>866.90873999999997</v>
      </c>
      <c r="G407" s="128">
        <f t="shared" si="81"/>
        <v>0</v>
      </c>
      <c r="H407" s="128">
        <f t="shared" si="81"/>
        <v>0</v>
      </c>
    </row>
    <row r="408" spans="1:8" ht="22.5" customHeight="1" x14ac:dyDescent="0.2">
      <c r="A408" s="250" t="s">
        <v>124</v>
      </c>
      <c r="B408" s="127" t="s">
        <v>211</v>
      </c>
      <c r="C408" s="127" t="s">
        <v>108</v>
      </c>
      <c r="D408" s="127" t="s">
        <v>320</v>
      </c>
      <c r="E408" s="127" t="s">
        <v>165</v>
      </c>
      <c r="F408" s="144">
        <f>'5'!D291</f>
        <v>866.90873999999997</v>
      </c>
      <c r="G408" s="357">
        <f>'5'!E291</f>
        <v>0</v>
      </c>
      <c r="H408" s="357">
        <f>'5'!F291</f>
        <v>0</v>
      </c>
    </row>
    <row r="409" spans="1:8" ht="46.5" customHeight="1" x14ac:dyDescent="0.2">
      <c r="A409" s="251" t="s">
        <v>724</v>
      </c>
      <c r="B409" s="8" t="s">
        <v>211</v>
      </c>
      <c r="C409" s="8" t="s">
        <v>108</v>
      </c>
      <c r="D409" s="8" t="s">
        <v>22</v>
      </c>
      <c r="E409" s="8" t="s">
        <v>222</v>
      </c>
      <c r="F409" s="131">
        <f>F410</f>
        <v>51964.42</v>
      </c>
      <c r="G409" s="129">
        <f t="shared" ref="G409:H409" si="82">G410</f>
        <v>55123.663999999997</v>
      </c>
      <c r="H409" s="129">
        <f t="shared" si="82"/>
        <v>58333.048000000003</v>
      </c>
    </row>
    <row r="410" spans="1:8" ht="54.75" customHeight="1" x14ac:dyDescent="0.2">
      <c r="A410" s="259" t="s">
        <v>790</v>
      </c>
      <c r="B410" s="127" t="s">
        <v>211</v>
      </c>
      <c r="C410" s="127" t="s">
        <v>108</v>
      </c>
      <c r="D410" s="127" t="s">
        <v>31</v>
      </c>
      <c r="E410" s="127" t="s">
        <v>222</v>
      </c>
      <c r="F410" s="128">
        <f>F411</f>
        <v>51964.42</v>
      </c>
      <c r="G410" s="128">
        <f t="shared" ref="G410:H412" si="83">G411</f>
        <v>55123.663999999997</v>
      </c>
      <c r="H410" s="128">
        <f t="shared" si="83"/>
        <v>58333.048000000003</v>
      </c>
    </row>
    <row r="411" spans="1:8" s="130" customFormat="1" ht="101.25" customHeight="1" x14ac:dyDescent="0.2">
      <c r="A411" s="251" t="s">
        <v>796</v>
      </c>
      <c r="B411" s="8" t="s">
        <v>211</v>
      </c>
      <c r="C411" s="152" t="s">
        <v>108</v>
      </c>
      <c r="D411" s="8" t="s">
        <v>34</v>
      </c>
      <c r="E411" s="8" t="s">
        <v>222</v>
      </c>
      <c r="F411" s="129">
        <f>F412</f>
        <v>51964.42</v>
      </c>
      <c r="G411" s="129">
        <f t="shared" si="83"/>
        <v>55123.663999999997</v>
      </c>
      <c r="H411" s="129">
        <f t="shared" si="83"/>
        <v>58333.048000000003</v>
      </c>
    </row>
    <row r="412" spans="1:8" ht="51" customHeight="1" x14ac:dyDescent="0.2">
      <c r="A412" s="250" t="s">
        <v>715</v>
      </c>
      <c r="B412" s="127" t="s">
        <v>211</v>
      </c>
      <c r="C412" s="127" t="s">
        <v>108</v>
      </c>
      <c r="D412" s="127" t="s">
        <v>34</v>
      </c>
      <c r="E412" s="127" t="s">
        <v>714</v>
      </c>
      <c r="F412" s="128">
        <f>F413</f>
        <v>51964.42</v>
      </c>
      <c r="G412" s="128">
        <f t="shared" si="83"/>
        <v>55123.663999999997</v>
      </c>
      <c r="H412" s="128">
        <f t="shared" si="83"/>
        <v>58333.048000000003</v>
      </c>
    </row>
    <row r="413" spans="1:8" ht="18.75" customHeight="1" x14ac:dyDescent="0.2">
      <c r="A413" s="250" t="s">
        <v>124</v>
      </c>
      <c r="B413" s="127" t="s">
        <v>211</v>
      </c>
      <c r="C413" s="127" t="s">
        <v>108</v>
      </c>
      <c r="D413" s="127" t="s">
        <v>34</v>
      </c>
      <c r="E413" s="127" t="s">
        <v>165</v>
      </c>
      <c r="F413" s="357">
        <f>'5'!D64</f>
        <v>51964.42</v>
      </c>
      <c r="G413" s="357">
        <f>'5'!E64</f>
        <v>55123.663999999997</v>
      </c>
      <c r="H413" s="357">
        <f>'5'!F64</f>
        <v>58333.048000000003</v>
      </c>
    </row>
    <row r="414" spans="1:8" ht="53.25" hidden="1" customHeight="1" x14ac:dyDescent="0.2">
      <c r="A414" s="250" t="s">
        <v>797</v>
      </c>
      <c r="B414" s="127" t="s">
        <v>211</v>
      </c>
      <c r="C414" s="127" t="s">
        <v>108</v>
      </c>
      <c r="D414" s="127" t="s">
        <v>6</v>
      </c>
      <c r="E414" s="127" t="s">
        <v>222</v>
      </c>
      <c r="F414" s="128">
        <f>F415</f>
        <v>0</v>
      </c>
      <c r="G414" s="128">
        <f>G415</f>
        <v>0</v>
      </c>
      <c r="H414" s="128">
        <f>H415</f>
        <v>0</v>
      </c>
    </row>
    <row r="415" spans="1:8" ht="61.5" hidden="1" customHeight="1" x14ac:dyDescent="0.2">
      <c r="A415" s="250" t="s">
        <v>798</v>
      </c>
      <c r="B415" s="127" t="s">
        <v>211</v>
      </c>
      <c r="C415" s="127" t="s">
        <v>108</v>
      </c>
      <c r="D415" s="127" t="s">
        <v>6</v>
      </c>
      <c r="E415" s="127" t="s">
        <v>714</v>
      </c>
      <c r="F415" s="128">
        <f>F417</f>
        <v>0</v>
      </c>
      <c r="G415" s="128">
        <f>G417</f>
        <v>0</v>
      </c>
      <c r="H415" s="128">
        <f>H417</f>
        <v>0</v>
      </c>
    </row>
    <row r="416" spans="1:8" ht="27.75" hidden="1" customHeight="1" x14ac:dyDescent="0.2">
      <c r="A416" s="250" t="s">
        <v>715</v>
      </c>
      <c r="B416" s="127" t="s">
        <v>211</v>
      </c>
      <c r="C416" s="127" t="s">
        <v>108</v>
      </c>
      <c r="D416" s="127" t="s">
        <v>6</v>
      </c>
      <c r="E416" s="127" t="s">
        <v>714</v>
      </c>
      <c r="F416" s="128"/>
      <c r="G416" s="128"/>
      <c r="H416" s="128"/>
    </row>
    <row r="417" spans="1:8" ht="18.75" hidden="1" customHeight="1" x14ac:dyDescent="0.2">
      <c r="A417" s="250" t="s">
        <v>124</v>
      </c>
      <c r="B417" s="127" t="s">
        <v>211</v>
      </c>
      <c r="C417" s="127" t="s">
        <v>108</v>
      </c>
      <c r="D417" s="127" t="s">
        <v>6</v>
      </c>
      <c r="E417" s="127" t="s">
        <v>165</v>
      </c>
      <c r="F417" s="128">
        <f t="shared" ref="F417:H421" si="84">F418</f>
        <v>0</v>
      </c>
      <c r="G417" s="128">
        <f t="shared" si="84"/>
        <v>0</v>
      </c>
      <c r="H417" s="128">
        <f t="shared" si="84"/>
        <v>0</v>
      </c>
    </row>
    <row r="418" spans="1:8" ht="37.15" hidden="1" customHeight="1" x14ac:dyDescent="0.2">
      <c r="A418" s="250" t="s">
        <v>669</v>
      </c>
      <c r="B418" s="127" t="s">
        <v>211</v>
      </c>
      <c r="C418" s="127" t="s">
        <v>108</v>
      </c>
      <c r="D418" s="127" t="s">
        <v>5</v>
      </c>
      <c r="E418" s="127" t="s">
        <v>222</v>
      </c>
      <c r="F418" s="128">
        <f t="shared" si="84"/>
        <v>0</v>
      </c>
      <c r="G418" s="128">
        <f t="shared" si="84"/>
        <v>0</v>
      </c>
      <c r="H418" s="128">
        <f t="shared" si="84"/>
        <v>0</v>
      </c>
    </row>
    <row r="419" spans="1:8" ht="31.15" hidden="1" customHeight="1" x14ac:dyDescent="0.2">
      <c r="A419" s="250" t="s">
        <v>110</v>
      </c>
      <c r="B419" s="127" t="s">
        <v>211</v>
      </c>
      <c r="C419" s="127" t="s">
        <v>108</v>
      </c>
      <c r="D419" s="127" t="s">
        <v>6</v>
      </c>
      <c r="E419" s="127" t="s">
        <v>222</v>
      </c>
      <c r="F419" s="128">
        <f t="shared" si="84"/>
        <v>0</v>
      </c>
      <c r="G419" s="128">
        <f t="shared" si="84"/>
        <v>0</v>
      </c>
      <c r="H419" s="128">
        <f t="shared" si="84"/>
        <v>0</v>
      </c>
    </row>
    <row r="420" spans="1:8" ht="37.15" hidden="1" customHeight="1" x14ac:dyDescent="0.2">
      <c r="A420" s="259" t="s">
        <v>349</v>
      </c>
      <c r="B420" s="127" t="s">
        <v>211</v>
      </c>
      <c r="C420" s="127" t="s">
        <v>108</v>
      </c>
      <c r="D420" s="127" t="s">
        <v>320</v>
      </c>
      <c r="E420" s="127" t="s">
        <v>222</v>
      </c>
      <c r="F420" s="128">
        <f t="shared" si="84"/>
        <v>0</v>
      </c>
      <c r="G420" s="128">
        <f t="shared" si="84"/>
        <v>0</v>
      </c>
      <c r="H420" s="128">
        <f t="shared" si="84"/>
        <v>0</v>
      </c>
    </row>
    <row r="421" spans="1:8" ht="30" hidden="1" customHeight="1" x14ac:dyDescent="0.2">
      <c r="A421" s="250" t="s">
        <v>715</v>
      </c>
      <c r="B421" s="127" t="s">
        <v>211</v>
      </c>
      <c r="C421" s="127" t="s">
        <v>108</v>
      </c>
      <c r="D421" s="127" t="s">
        <v>320</v>
      </c>
      <c r="E421" s="127" t="s">
        <v>714</v>
      </c>
      <c r="F421" s="128">
        <f t="shared" si="84"/>
        <v>0</v>
      </c>
      <c r="G421" s="128">
        <f t="shared" si="84"/>
        <v>0</v>
      </c>
      <c r="H421" s="128">
        <f t="shared" si="84"/>
        <v>0</v>
      </c>
    </row>
    <row r="422" spans="1:8" ht="18.75" hidden="1" customHeight="1" x14ac:dyDescent="0.2">
      <c r="A422" s="250" t="s">
        <v>124</v>
      </c>
      <c r="B422" s="127" t="s">
        <v>211</v>
      </c>
      <c r="C422" s="127" t="s">
        <v>108</v>
      </c>
      <c r="D422" s="127" t="s">
        <v>320</v>
      </c>
      <c r="E422" s="127" t="s">
        <v>165</v>
      </c>
      <c r="F422" s="128"/>
      <c r="G422" s="128"/>
      <c r="H422" s="128"/>
    </row>
    <row r="423" spans="1:8" s="142" customFormat="1" ht="17.25" customHeight="1" x14ac:dyDescent="0.2">
      <c r="A423" s="249" t="s">
        <v>799</v>
      </c>
      <c r="B423" s="122" t="s">
        <v>211</v>
      </c>
      <c r="C423" s="122" t="s">
        <v>668</v>
      </c>
      <c r="D423" s="122" t="s">
        <v>666</v>
      </c>
      <c r="E423" s="122" t="s">
        <v>222</v>
      </c>
      <c r="F423" s="123">
        <f t="shared" ref="F423:H423" si="85">F424+F478+F488+F491+F494</f>
        <v>465863.97540000005</v>
      </c>
      <c r="G423" s="123">
        <f t="shared" si="85"/>
        <v>357725.46946000005</v>
      </c>
      <c r="H423" s="123">
        <f t="shared" si="85"/>
        <v>362575.96680999995</v>
      </c>
    </row>
    <row r="424" spans="1:8" s="130" customFormat="1" ht="54.75" customHeight="1" x14ac:dyDescent="0.2">
      <c r="A424" s="251" t="s">
        <v>724</v>
      </c>
      <c r="B424" s="8" t="s">
        <v>211</v>
      </c>
      <c r="C424" s="8" t="s">
        <v>668</v>
      </c>
      <c r="D424" s="8" t="s">
        <v>22</v>
      </c>
      <c r="E424" s="8" t="s">
        <v>222</v>
      </c>
      <c r="F424" s="129">
        <f>F425+F462+F497</f>
        <v>165090.28320000001</v>
      </c>
      <c r="G424" s="129">
        <f t="shared" ref="G424:H424" si="86">G425+G462+G497</f>
        <v>65756.172820000007</v>
      </c>
      <c r="H424" s="129">
        <f t="shared" si="86"/>
        <v>53753.117010000009</v>
      </c>
    </row>
    <row r="425" spans="1:8" ht="54" customHeight="1" x14ac:dyDescent="0.2">
      <c r="A425" s="259" t="s">
        <v>800</v>
      </c>
      <c r="B425" s="127" t="s">
        <v>211</v>
      </c>
      <c r="C425" s="127" t="s">
        <v>668</v>
      </c>
      <c r="D425" s="127" t="s">
        <v>35</v>
      </c>
      <c r="E425" s="127" t="s">
        <v>222</v>
      </c>
      <c r="F425" s="128">
        <f>F426+F429+F441+F432+F435+F438+F444+F451</f>
        <v>146105.51010000001</v>
      </c>
      <c r="G425" s="128">
        <f t="shared" ref="G425:H425" si="87">G426+G429+G441+G432+G435+G438+G444+G451</f>
        <v>36503.372820000004</v>
      </c>
      <c r="H425" s="128">
        <f t="shared" si="87"/>
        <v>24847.117010000009</v>
      </c>
    </row>
    <row r="426" spans="1:8" ht="37.5" customHeight="1" x14ac:dyDescent="0.2">
      <c r="A426" s="250" t="s">
        <v>141</v>
      </c>
      <c r="B426" s="127" t="s">
        <v>211</v>
      </c>
      <c r="C426" s="127" t="s">
        <v>668</v>
      </c>
      <c r="D426" s="127" t="s">
        <v>36</v>
      </c>
      <c r="E426" s="127" t="s">
        <v>222</v>
      </c>
      <c r="F426" s="357">
        <f t="shared" ref="F426:H427" si="88">F427</f>
        <v>2999.4554000000007</v>
      </c>
      <c r="G426" s="357">
        <f t="shared" si="88"/>
        <v>500</v>
      </c>
      <c r="H426" s="357">
        <f t="shared" si="88"/>
        <v>500</v>
      </c>
    </row>
    <row r="427" spans="1:8" ht="50.25" customHeight="1" x14ac:dyDescent="0.2">
      <c r="A427" s="250" t="s">
        <v>715</v>
      </c>
      <c r="B427" s="127" t="s">
        <v>211</v>
      </c>
      <c r="C427" s="127" t="s">
        <v>668</v>
      </c>
      <c r="D427" s="127" t="s">
        <v>37</v>
      </c>
      <c r="E427" s="127" t="s">
        <v>714</v>
      </c>
      <c r="F427" s="357">
        <f t="shared" si="88"/>
        <v>2999.4554000000007</v>
      </c>
      <c r="G427" s="357">
        <f t="shared" si="88"/>
        <v>500</v>
      </c>
      <c r="H427" s="357">
        <f t="shared" si="88"/>
        <v>500</v>
      </c>
    </row>
    <row r="428" spans="1:8" ht="19.899999999999999" customHeight="1" x14ac:dyDescent="0.2">
      <c r="A428" s="250" t="s">
        <v>124</v>
      </c>
      <c r="B428" s="127" t="s">
        <v>211</v>
      </c>
      <c r="C428" s="127" t="s">
        <v>668</v>
      </c>
      <c r="D428" s="127" t="s">
        <v>37</v>
      </c>
      <c r="E428" s="127" t="s">
        <v>165</v>
      </c>
      <c r="F428" s="357">
        <f>'5'!D15</f>
        <v>2999.4554000000007</v>
      </c>
      <c r="G428" s="357">
        <f>'5'!E15</f>
        <v>500</v>
      </c>
      <c r="H428" s="357">
        <f>'5'!F15</f>
        <v>500</v>
      </c>
    </row>
    <row r="429" spans="1:8" ht="99" customHeight="1" x14ac:dyDescent="0.2">
      <c r="A429" s="250" t="s">
        <v>801</v>
      </c>
      <c r="B429" s="127" t="s">
        <v>211</v>
      </c>
      <c r="C429" s="127" t="s">
        <v>668</v>
      </c>
      <c r="D429" s="127" t="s">
        <v>36</v>
      </c>
      <c r="E429" s="127" t="s">
        <v>222</v>
      </c>
      <c r="F429" s="357">
        <f t="shared" ref="F429:H430" si="89">F430</f>
        <v>133900.21566000002</v>
      </c>
      <c r="G429" s="357">
        <f t="shared" si="89"/>
        <v>36003.372820000004</v>
      </c>
      <c r="H429" s="357">
        <f t="shared" si="89"/>
        <v>24347.117010000009</v>
      </c>
    </row>
    <row r="430" spans="1:8" ht="53.25" customHeight="1" x14ac:dyDescent="0.2">
      <c r="A430" s="250" t="s">
        <v>715</v>
      </c>
      <c r="B430" s="127" t="s">
        <v>211</v>
      </c>
      <c r="C430" s="127" t="s">
        <v>668</v>
      </c>
      <c r="D430" s="127" t="s">
        <v>38</v>
      </c>
      <c r="E430" s="127" t="s">
        <v>714</v>
      </c>
      <c r="F430" s="357">
        <f t="shared" si="89"/>
        <v>133900.21566000002</v>
      </c>
      <c r="G430" s="357">
        <f t="shared" si="89"/>
        <v>36003.372820000004</v>
      </c>
      <c r="H430" s="357">
        <f t="shared" si="89"/>
        <v>24347.117010000009</v>
      </c>
    </row>
    <row r="431" spans="1:8" ht="19.5" customHeight="1" x14ac:dyDescent="0.2">
      <c r="A431" s="257" t="s">
        <v>124</v>
      </c>
      <c r="B431" s="133" t="s">
        <v>211</v>
      </c>
      <c r="C431" s="133" t="s">
        <v>668</v>
      </c>
      <c r="D431" s="133" t="s">
        <v>38</v>
      </c>
      <c r="E431" s="133" t="s">
        <v>165</v>
      </c>
      <c r="F431" s="357">
        <f>'5'!D47+'5'!D48</f>
        <v>133900.21566000002</v>
      </c>
      <c r="G431" s="357">
        <f>'5'!E47</f>
        <v>36003.372820000004</v>
      </c>
      <c r="H431" s="357">
        <f>'5'!F47</f>
        <v>24347.117010000009</v>
      </c>
    </row>
    <row r="432" spans="1:8" ht="84.6" hidden="1" customHeight="1" x14ac:dyDescent="0.2">
      <c r="A432" s="257" t="s">
        <v>384</v>
      </c>
      <c r="B432" s="133" t="s">
        <v>211</v>
      </c>
      <c r="C432" s="133" t="s">
        <v>668</v>
      </c>
      <c r="D432" s="133" t="s">
        <v>378</v>
      </c>
      <c r="E432" s="133" t="s">
        <v>222</v>
      </c>
      <c r="F432" s="357">
        <f t="shared" ref="F432:H433" si="90">F433</f>
        <v>0</v>
      </c>
      <c r="G432" s="357">
        <f t="shared" si="90"/>
        <v>0</v>
      </c>
      <c r="H432" s="357">
        <f t="shared" si="90"/>
        <v>0</v>
      </c>
    </row>
    <row r="433" spans="1:8" ht="52.9" hidden="1" customHeight="1" x14ac:dyDescent="0.2">
      <c r="A433" s="257" t="s">
        <v>715</v>
      </c>
      <c r="B433" s="133" t="s">
        <v>211</v>
      </c>
      <c r="C433" s="133" t="s">
        <v>668</v>
      </c>
      <c r="D433" s="133" t="s">
        <v>378</v>
      </c>
      <c r="E433" s="133" t="s">
        <v>714</v>
      </c>
      <c r="F433" s="357">
        <f t="shared" si="90"/>
        <v>0</v>
      </c>
      <c r="G433" s="357">
        <f t="shared" si="90"/>
        <v>0</v>
      </c>
      <c r="H433" s="357">
        <f t="shared" si="90"/>
        <v>0</v>
      </c>
    </row>
    <row r="434" spans="1:8" ht="19.5" hidden="1" customHeight="1" x14ac:dyDescent="0.2">
      <c r="A434" s="257" t="s">
        <v>124</v>
      </c>
      <c r="B434" s="133" t="s">
        <v>211</v>
      </c>
      <c r="C434" s="133" t="s">
        <v>668</v>
      </c>
      <c r="D434" s="133" t="s">
        <v>378</v>
      </c>
      <c r="E434" s="133" t="s">
        <v>165</v>
      </c>
      <c r="F434" s="357"/>
      <c r="G434" s="357"/>
      <c r="H434" s="357"/>
    </row>
    <row r="435" spans="1:8" ht="50.25" customHeight="1" x14ac:dyDescent="0.2">
      <c r="A435" s="257" t="s">
        <v>802</v>
      </c>
      <c r="B435" s="133" t="s">
        <v>211</v>
      </c>
      <c r="C435" s="133" t="s">
        <v>668</v>
      </c>
      <c r="D435" s="133" t="s">
        <v>437</v>
      </c>
      <c r="E435" s="133" t="s">
        <v>222</v>
      </c>
      <c r="F435" s="357">
        <f t="shared" ref="F435:H436" si="91">F436</f>
        <v>935</v>
      </c>
      <c r="G435" s="357">
        <f t="shared" si="91"/>
        <v>0</v>
      </c>
      <c r="H435" s="357">
        <f t="shared" si="91"/>
        <v>0</v>
      </c>
    </row>
    <row r="436" spans="1:8" ht="49.15" customHeight="1" x14ac:dyDescent="0.2">
      <c r="A436" s="257" t="s">
        <v>715</v>
      </c>
      <c r="B436" s="133" t="s">
        <v>211</v>
      </c>
      <c r="C436" s="133" t="s">
        <v>668</v>
      </c>
      <c r="D436" s="133" t="s">
        <v>437</v>
      </c>
      <c r="E436" s="133" t="s">
        <v>714</v>
      </c>
      <c r="F436" s="357">
        <f t="shared" si="91"/>
        <v>935</v>
      </c>
      <c r="G436" s="357">
        <f t="shared" si="91"/>
        <v>0</v>
      </c>
      <c r="H436" s="357">
        <f t="shared" si="91"/>
        <v>0</v>
      </c>
    </row>
    <row r="437" spans="1:8" ht="19.5" customHeight="1" x14ac:dyDescent="0.2">
      <c r="A437" s="257" t="s">
        <v>124</v>
      </c>
      <c r="B437" s="133" t="s">
        <v>211</v>
      </c>
      <c r="C437" s="133" t="s">
        <v>668</v>
      </c>
      <c r="D437" s="133" t="s">
        <v>437</v>
      </c>
      <c r="E437" s="133" t="s">
        <v>165</v>
      </c>
      <c r="F437" s="357">
        <f>'5'!D20</f>
        <v>935</v>
      </c>
      <c r="G437" s="357">
        <f>'5'!E20</f>
        <v>0</v>
      </c>
      <c r="H437" s="357">
        <f>'5'!F20</f>
        <v>0</v>
      </c>
    </row>
    <row r="438" spans="1:8" ht="30.75" hidden="1" customHeight="1" x14ac:dyDescent="0.2">
      <c r="A438" s="251" t="s">
        <v>478</v>
      </c>
      <c r="B438" s="127" t="s">
        <v>211</v>
      </c>
      <c r="C438" s="127" t="s">
        <v>668</v>
      </c>
      <c r="D438" s="127" t="s">
        <v>479</v>
      </c>
      <c r="E438" s="127" t="s">
        <v>222</v>
      </c>
      <c r="F438" s="129">
        <f t="shared" ref="F438:H439" si="92">F439</f>
        <v>0</v>
      </c>
      <c r="G438" s="129">
        <f t="shared" si="92"/>
        <v>0</v>
      </c>
      <c r="H438" s="129">
        <f t="shared" si="92"/>
        <v>0</v>
      </c>
    </row>
    <row r="439" spans="1:8" ht="54" hidden="1" customHeight="1" x14ac:dyDescent="0.2">
      <c r="A439" s="250" t="s">
        <v>715</v>
      </c>
      <c r="B439" s="127" t="s">
        <v>211</v>
      </c>
      <c r="C439" s="127" t="s">
        <v>668</v>
      </c>
      <c r="D439" s="127" t="s">
        <v>479</v>
      </c>
      <c r="E439" s="127" t="s">
        <v>714</v>
      </c>
      <c r="F439" s="128">
        <f t="shared" si="92"/>
        <v>0</v>
      </c>
      <c r="G439" s="128">
        <f t="shared" si="92"/>
        <v>0</v>
      </c>
      <c r="H439" s="128">
        <f t="shared" si="92"/>
        <v>0</v>
      </c>
    </row>
    <row r="440" spans="1:8" ht="20.45" hidden="1" customHeight="1" x14ac:dyDescent="0.2">
      <c r="A440" s="250" t="s">
        <v>124</v>
      </c>
      <c r="B440" s="127" t="s">
        <v>211</v>
      </c>
      <c r="C440" s="127" t="s">
        <v>668</v>
      </c>
      <c r="D440" s="127" t="s">
        <v>479</v>
      </c>
      <c r="E440" s="127" t="s">
        <v>165</v>
      </c>
      <c r="F440" s="128"/>
      <c r="G440" s="128"/>
      <c r="H440" s="128"/>
    </row>
    <row r="441" spans="1:8" ht="79.900000000000006" customHeight="1" x14ac:dyDescent="0.2">
      <c r="A441" s="250" t="s">
        <v>423</v>
      </c>
      <c r="B441" s="127" t="s">
        <v>211</v>
      </c>
      <c r="C441" s="127" t="s">
        <v>668</v>
      </c>
      <c r="D441" s="153" t="s">
        <v>579</v>
      </c>
      <c r="E441" s="127" t="s">
        <v>222</v>
      </c>
      <c r="F441" s="357">
        <f t="shared" ref="F441:H442" si="93">F442</f>
        <v>8.9059999999999953</v>
      </c>
      <c r="G441" s="128">
        <f t="shared" si="93"/>
        <v>0</v>
      </c>
      <c r="H441" s="128">
        <f t="shared" si="93"/>
        <v>0</v>
      </c>
    </row>
    <row r="442" spans="1:8" ht="51" customHeight="1" x14ac:dyDescent="0.2">
      <c r="A442" s="250" t="s">
        <v>715</v>
      </c>
      <c r="B442" s="127" t="s">
        <v>211</v>
      </c>
      <c r="C442" s="127" t="s">
        <v>668</v>
      </c>
      <c r="D442" s="153" t="s">
        <v>579</v>
      </c>
      <c r="E442" s="127" t="s">
        <v>714</v>
      </c>
      <c r="F442" s="357">
        <f t="shared" si="93"/>
        <v>8.9059999999999953</v>
      </c>
      <c r="G442" s="128">
        <f t="shared" si="93"/>
        <v>0</v>
      </c>
      <c r="H442" s="128">
        <f t="shared" si="93"/>
        <v>0</v>
      </c>
    </row>
    <row r="443" spans="1:8" ht="19.899999999999999" customHeight="1" x14ac:dyDescent="0.2">
      <c r="A443" s="250" t="s">
        <v>124</v>
      </c>
      <c r="B443" s="127" t="s">
        <v>211</v>
      </c>
      <c r="C443" s="127" t="s">
        <v>668</v>
      </c>
      <c r="D443" s="153" t="s">
        <v>579</v>
      </c>
      <c r="E443" s="127" t="s">
        <v>165</v>
      </c>
      <c r="F443" s="357">
        <f>'5'!D27</f>
        <v>8.9059999999999953</v>
      </c>
      <c r="G443" s="357">
        <f>'5'!E27</f>
        <v>0</v>
      </c>
      <c r="H443" s="357">
        <f>'5'!F27</f>
        <v>0</v>
      </c>
    </row>
    <row r="444" spans="1:8" ht="47.45" customHeight="1" x14ac:dyDescent="0.2">
      <c r="A444" s="264" t="s">
        <v>533</v>
      </c>
      <c r="B444" s="154" t="s">
        <v>211</v>
      </c>
      <c r="C444" s="154" t="s">
        <v>668</v>
      </c>
      <c r="D444" s="155" t="s">
        <v>35</v>
      </c>
      <c r="E444" s="154" t="s">
        <v>222</v>
      </c>
      <c r="F444" s="349">
        <f>F445+F448</f>
        <v>5231.6299999999992</v>
      </c>
      <c r="G444" s="349">
        <f>G445+G448</f>
        <v>0</v>
      </c>
      <c r="H444" s="349">
        <f>H445+H448</f>
        <v>0</v>
      </c>
    </row>
    <row r="445" spans="1:8" ht="84.75" customHeight="1" x14ac:dyDescent="0.2">
      <c r="A445" s="257" t="s">
        <v>1065</v>
      </c>
      <c r="B445" s="133" t="s">
        <v>211</v>
      </c>
      <c r="C445" s="133" t="s">
        <v>668</v>
      </c>
      <c r="D445" s="153" t="s">
        <v>1056</v>
      </c>
      <c r="E445" s="133" t="s">
        <v>222</v>
      </c>
      <c r="F445" s="357">
        <f t="shared" ref="F445:H446" si="94">F446</f>
        <v>2607</v>
      </c>
      <c r="G445" s="357">
        <f t="shared" si="94"/>
        <v>0</v>
      </c>
      <c r="H445" s="357">
        <f t="shared" si="94"/>
        <v>0</v>
      </c>
    </row>
    <row r="446" spans="1:8" ht="51.75" customHeight="1" x14ac:dyDescent="0.2">
      <c r="A446" s="257" t="s">
        <v>715</v>
      </c>
      <c r="B446" s="133" t="s">
        <v>211</v>
      </c>
      <c r="C446" s="133" t="s">
        <v>668</v>
      </c>
      <c r="D446" s="153" t="s">
        <v>1056</v>
      </c>
      <c r="E446" s="133" t="s">
        <v>714</v>
      </c>
      <c r="F446" s="357">
        <f t="shared" si="94"/>
        <v>2607</v>
      </c>
      <c r="G446" s="357">
        <f t="shared" si="94"/>
        <v>0</v>
      </c>
      <c r="H446" s="357">
        <f t="shared" si="94"/>
        <v>0</v>
      </c>
    </row>
    <row r="447" spans="1:8" ht="19.899999999999999" customHeight="1" x14ac:dyDescent="0.2">
      <c r="A447" s="257" t="s">
        <v>124</v>
      </c>
      <c r="B447" s="133" t="s">
        <v>211</v>
      </c>
      <c r="C447" s="133" t="s">
        <v>668</v>
      </c>
      <c r="D447" s="153" t="s">
        <v>1056</v>
      </c>
      <c r="E447" s="133" t="s">
        <v>165</v>
      </c>
      <c r="F447" s="357">
        <f>'5'!D31</f>
        <v>2607</v>
      </c>
      <c r="G447" s="357">
        <f>'5'!E29</f>
        <v>0</v>
      </c>
      <c r="H447" s="357">
        <f>'5'!F29</f>
        <v>0</v>
      </c>
    </row>
    <row r="448" spans="1:8" ht="70.5" customHeight="1" x14ac:dyDescent="0.2">
      <c r="A448" s="257" t="s">
        <v>1066</v>
      </c>
      <c r="B448" s="133" t="s">
        <v>211</v>
      </c>
      <c r="C448" s="133" t="s">
        <v>668</v>
      </c>
      <c r="D448" s="153" t="s">
        <v>1060</v>
      </c>
      <c r="E448" s="133" t="s">
        <v>222</v>
      </c>
      <c r="F448" s="357">
        <f t="shared" ref="F448:H449" si="95">F449</f>
        <v>2624.6299999999997</v>
      </c>
      <c r="G448" s="357">
        <f t="shared" si="95"/>
        <v>0</v>
      </c>
      <c r="H448" s="357">
        <f t="shared" si="95"/>
        <v>0</v>
      </c>
    </row>
    <row r="449" spans="1:8" ht="48" customHeight="1" x14ac:dyDescent="0.2">
      <c r="A449" s="257" t="s">
        <v>715</v>
      </c>
      <c r="B449" s="133" t="s">
        <v>211</v>
      </c>
      <c r="C449" s="133" t="s">
        <v>668</v>
      </c>
      <c r="D449" s="153" t="s">
        <v>1060</v>
      </c>
      <c r="E449" s="133" t="s">
        <v>714</v>
      </c>
      <c r="F449" s="357">
        <f t="shared" si="95"/>
        <v>2624.6299999999997</v>
      </c>
      <c r="G449" s="357">
        <f t="shared" si="95"/>
        <v>0</v>
      </c>
      <c r="H449" s="357">
        <f t="shared" si="95"/>
        <v>0</v>
      </c>
    </row>
    <row r="450" spans="1:8" ht="19.899999999999999" customHeight="1" x14ac:dyDescent="0.2">
      <c r="A450" s="257" t="s">
        <v>124</v>
      </c>
      <c r="B450" s="133" t="s">
        <v>211</v>
      </c>
      <c r="C450" s="133" t="s">
        <v>668</v>
      </c>
      <c r="D450" s="153" t="s">
        <v>1060</v>
      </c>
      <c r="E450" s="133" t="s">
        <v>165</v>
      </c>
      <c r="F450" s="357">
        <f>'5'!D34</f>
        <v>2624.6299999999997</v>
      </c>
      <c r="G450" s="357">
        <f>'5'!E30</f>
        <v>0</v>
      </c>
      <c r="H450" s="357">
        <f>'5'!F30</f>
        <v>0</v>
      </c>
    </row>
    <row r="451" spans="1:8" s="143" customFormat="1" ht="54" customHeight="1" x14ac:dyDescent="0.25">
      <c r="A451" s="264" t="s">
        <v>1048</v>
      </c>
      <c r="B451" s="154" t="s">
        <v>211</v>
      </c>
      <c r="C451" s="154" t="s">
        <v>668</v>
      </c>
      <c r="D451" s="155" t="s">
        <v>35</v>
      </c>
      <c r="E451" s="154" t="s">
        <v>222</v>
      </c>
      <c r="F451" s="148">
        <f>F452+F455</f>
        <v>3030.3030399999998</v>
      </c>
      <c r="G451" s="148">
        <f t="shared" ref="G451:H451" si="96">G452+G455</f>
        <v>0</v>
      </c>
      <c r="H451" s="148">
        <f t="shared" si="96"/>
        <v>0</v>
      </c>
    </row>
    <row r="452" spans="1:8" ht="84" customHeight="1" x14ac:dyDescent="0.2">
      <c r="A452" s="257" t="s">
        <v>1063</v>
      </c>
      <c r="B452" s="133" t="s">
        <v>211</v>
      </c>
      <c r="C452" s="133" t="s">
        <v>668</v>
      </c>
      <c r="D452" s="416" t="s">
        <v>1061</v>
      </c>
      <c r="E452" s="133" t="s">
        <v>222</v>
      </c>
      <c r="F452" s="357">
        <f>F453</f>
        <v>1515.1515199999999</v>
      </c>
      <c r="G452" s="357">
        <f t="shared" ref="G452:H452" si="97">G453</f>
        <v>0</v>
      </c>
      <c r="H452" s="357">
        <f t="shared" si="97"/>
        <v>0</v>
      </c>
    </row>
    <row r="453" spans="1:8" ht="49.15" customHeight="1" x14ac:dyDescent="0.2">
      <c r="A453" s="257" t="s">
        <v>715</v>
      </c>
      <c r="B453" s="133" t="s">
        <v>211</v>
      </c>
      <c r="C453" s="133" t="s">
        <v>668</v>
      </c>
      <c r="D453" s="416" t="s">
        <v>1061</v>
      </c>
      <c r="E453" s="133" t="s">
        <v>714</v>
      </c>
      <c r="F453" s="357">
        <f>F454</f>
        <v>1515.1515199999999</v>
      </c>
      <c r="G453" s="357">
        <f>G458</f>
        <v>0</v>
      </c>
      <c r="H453" s="357">
        <f>H458</f>
        <v>0</v>
      </c>
    </row>
    <row r="454" spans="1:8" ht="23.25" customHeight="1" x14ac:dyDescent="0.2">
      <c r="A454" s="257" t="s">
        <v>124</v>
      </c>
      <c r="B454" s="133" t="s">
        <v>211</v>
      </c>
      <c r="C454" s="133" t="s">
        <v>668</v>
      </c>
      <c r="D454" s="416" t="s">
        <v>1061</v>
      </c>
      <c r="E454" s="133" t="s">
        <v>165</v>
      </c>
      <c r="F454" s="357">
        <f>'5'!D40</f>
        <v>1515.1515199999999</v>
      </c>
      <c r="G454" s="357">
        <v>0</v>
      </c>
      <c r="H454" s="357">
        <v>0</v>
      </c>
    </row>
    <row r="455" spans="1:8" ht="81.75" customHeight="1" x14ac:dyDescent="0.2">
      <c r="A455" s="257" t="s">
        <v>1064</v>
      </c>
      <c r="B455" s="133" t="s">
        <v>211</v>
      </c>
      <c r="C455" s="133" t="s">
        <v>668</v>
      </c>
      <c r="D455" s="416" t="s">
        <v>1062</v>
      </c>
      <c r="E455" s="133" t="s">
        <v>222</v>
      </c>
      <c r="F455" s="357">
        <f>F456</f>
        <v>1515.1515199999999</v>
      </c>
      <c r="G455" s="357">
        <f t="shared" ref="G455:H456" si="98">G456</f>
        <v>0</v>
      </c>
      <c r="H455" s="357">
        <f t="shared" si="98"/>
        <v>0</v>
      </c>
    </row>
    <row r="456" spans="1:8" ht="49.15" customHeight="1" x14ac:dyDescent="0.2">
      <c r="A456" s="257" t="s">
        <v>715</v>
      </c>
      <c r="B456" s="133" t="s">
        <v>211</v>
      </c>
      <c r="C456" s="133" t="s">
        <v>668</v>
      </c>
      <c r="D456" s="416" t="s">
        <v>1062</v>
      </c>
      <c r="E456" s="133" t="s">
        <v>714</v>
      </c>
      <c r="F456" s="357">
        <f>F457</f>
        <v>1515.1515199999999</v>
      </c>
      <c r="G456" s="357">
        <f t="shared" si="98"/>
        <v>0</v>
      </c>
      <c r="H456" s="357">
        <f t="shared" si="98"/>
        <v>0</v>
      </c>
    </row>
    <row r="457" spans="1:8" ht="22.5" customHeight="1" x14ac:dyDescent="0.2">
      <c r="A457" s="257" t="s">
        <v>124</v>
      </c>
      <c r="B457" s="133" t="s">
        <v>211</v>
      </c>
      <c r="C457" s="133" t="s">
        <v>668</v>
      </c>
      <c r="D457" s="416" t="s">
        <v>1062</v>
      </c>
      <c r="E457" s="133" t="s">
        <v>165</v>
      </c>
      <c r="F457" s="357">
        <f>'5'!D43</f>
        <v>1515.1515199999999</v>
      </c>
      <c r="G457" s="357">
        <v>0</v>
      </c>
      <c r="H457" s="357">
        <v>0</v>
      </c>
    </row>
    <row r="458" spans="1:8" ht="33.6" hidden="1" customHeight="1" x14ac:dyDescent="0.2">
      <c r="A458" s="257"/>
      <c r="B458" s="133"/>
      <c r="C458" s="133"/>
      <c r="D458" s="153"/>
      <c r="E458" s="133"/>
      <c r="F458" s="357"/>
      <c r="G458" s="357"/>
      <c r="H458" s="357"/>
    </row>
    <row r="459" spans="1:8" ht="51" hidden="1" customHeight="1" x14ac:dyDescent="0.2">
      <c r="A459" s="257"/>
      <c r="B459" s="133"/>
      <c r="C459" s="133"/>
      <c r="D459" s="416"/>
      <c r="E459" s="133"/>
      <c r="F459" s="357"/>
      <c r="G459" s="357"/>
      <c r="H459" s="357"/>
    </row>
    <row r="460" spans="1:8" ht="58.5" hidden="1" customHeight="1" x14ac:dyDescent="0.2">
      <c r="A460" s="257"/>
      <c r="B460" s="133"/>
      <c r="C460" s="133"/>
      <c r="D460" s="416"/>
      <c r="E460" s="133"/>
      <c r="F460" s="357"/>
      <c r="G460" s="357"/>
      <c r="H460" s="357"/>
    </row>
    <row r="461" spans="1:8" ht="42.75" hidden="1" customHeight="1" x14ac:dyDescent="0.2">
      <c r="A461" s="257"/>
      <c r="B461" s="133"/>
      <c r="C461" s="133"/>
      <c r="D461" s="416"/>
      <c r="E461" s="133"/>
      <c r="F461" s="357"/>
      <c r="G461" s="357"/>
      <c r="H461" s="357"/>
    </row>
    <row r="462" spans="1:8" ht="36.6" customHeight="1" x14ac:dyDescent="0.2">
      <c r="A462" s="259" t="s">
        <v>803</v>
      </c>
      <c r="B462" s="127" t="s">
        <v>211</v>
      </c>
      <c r="C462" s="127" t="s">
        <v>668</v>
      </c>
      <c r="D462" s="127" t="s">
        <v>39</v>
      </c>
      <c r="E462" s="127" t="s">
        <v>222</v>
      </c>
      <c r="F462" s="128">
        <f>F463+F466</f>
        <v>1496.3879999999999</v>
      </c>
      <c r="G462" s="128">
        <f>G463+G466</f>
        <v>1800</v>
      </c>
      <c r="H462" s="128">
        <f>H463+H466</f>
        <v>1800</v>
      </c>
    </row>
    <row r="463" spans="1:8" ht="56.25" customHeight="1" x14ac:dyDescent="0.2">
      <c r="A463" s="251" t="s">
        <v>143</v>
      </c>
      <c r="B463" s="127" t="s">
        <v>211</v>
      </c>
      <c r="C463" s="127" t="s">
        <v>668</v>
      </c>
      <c r="D463" s="127" t="s">
        <v>804</v>
      </c>
      <c r="E463" s="127" t="s">
        <v>222</v>
      </c>
      <c r="F463" s="128">
        <f t="shared" ref="F463:H464" si="99">F464</f>
        <v>250</v>
      </c>
      <c r="G463" s="128">
        <f t="shared" si="99"/>
        <v>300</v>
      </c>
      <c r="H463" s="128">
        <f t="shared" si="99"/>
        <v>300</v>
      </c>
    </row>
    <row r="464" spans="1:8" ht="54.75" customHeight="1" x14ac:dyDescent="0.2">
      <c r="A464" s="250" t="s">
        <v>715</v>
      </c>
      <c r="B464" s="127" t="s">
        <v>211</v>
      </c>
      <c r="C464" s="127" t="s">
        <v>668</v>
      </c>
      <c r="D464" s="127" t="s">
        <v>40</v>
      </c>
      <c r="E464" s="127" t="s">
        <v>714</v>
      </c>
      <c r="F464" s="128">
        <f t="shared" si="99"/>
        <v>250</v>
      </c>
      <c r="G464" s="128">
        <f t="shared" si="99"/>
        <v>300</v>
      </c>
      <c r="H464" s="128">
        <f t="shared" si="99"/>
        <v>300</v>
      </c>
    </row>
    <row r="465" spans="1:8" ht="15.75" customHeight="1" x14ac:dyDescent="0.2">
      <c r="A465" s="250" t="s">
        <v>124</v>
      </c>
      <c r="B465" s="127" t="s">
        <v>211</v>
      </c>
      <c r="C465" s="127" t="s">
        <v>668</v>
      </c>
      <c r="D465" s="127" t="s">
        <v>40</v>
      </c>
      <c r="E465" s="127" t="s">
        <v>165</v>
      </c>
      <c r="F465" s="128">
        <f>'5'!D67</f>
        <v>250</v>
      </c>
      <c r="G465" s="128">
        <f>'5'!E67</f>
        <v>300</v>
      </c>
      <c r="H465" s="128">
        <f>'5'!F67</f>
        <v>300</v>
      </c>
    </row>
    <row r="466" spans="1:8" ht="39.75" customHeight="1" x14ac:dyDescent="0.2">
      <c r="A466" s="251" t="s">
        <v>142</v>
      </c>
      <c r="B466" s="127" t="s">
        <v>211</v>
      </c>
      <c r="C466" s="127" t="s">
        <v>668</v>
      </c>
      <c r="D466" s="127" t="s">
        <v>804</v>
      </c>
      <c r="E466" s="127" t="s">
        <v>222</v>
      </c>
      <c r="F466" s="128">
        <f t="shared" ref="F466:H467" si="100">F467</f>
        <v>1246.3879999999999</v>
      </c>
      <c r="G466" s="128">
        <f t="shared" si="100"/>
        <v>1500</v>
      </c>
      <c r="H466" s="128">
        <f t="shared" si="100"/>
        <v>1500</v>
      </c>
    </row>
    <row r="467" spans="1:8" ht="50.25" customHeight="1" x14ac:dyDescent="0.2">
      <c r="A467" s="250" t="s">
        <v>715</v>
      </c>
      <c r="B467" s="127" t="s">
        <v>211</v>
      </c>
      <c r="C467" s="127" t="s">
        <v>668</v>
      </c>
      <c r="D467" s="127" t="s">
        <v>41</v>
      </c>
      <c r="E467" s="127" t="s">
        <v>714</v>
      </c>
      <c r="F467" s="357">
        <f t="shared" si="100"/>
        <v>1246.3879999999999</v>
      </c>
      <c r="G467" s="357">
        <f t="shared" si="100"/>
        <v>1500</v>
      </c>
      <c r="H467" s="357">
        <f t="shared" si="100"/>
        <v>1500</v>
      </c>
    </row>
    <row r="468" spans="1:8" ht="21.75" customHeight="1" x14ac:dyDescent="0.2">
      <c r="A468" s="250" t="s">
        <v>124</v>
      </c>
      <c r="B468" s="127" t="s">
        <v>211</v>
      </c>
      <c r="C468" s="127" t="s">
        <v>668</v>
      </c>
      <c r="D468" s="127" t="s">
        <v>41</v>
      </c>
      <c r="E468" s="127" t="s">
        <v>165</v>
      </c>
      <c r="F468" s="357">
        <f>'5'!D68</f>
        <v>1246.3879999999999</v>
      </c>
      <c r="G468" s="357">
        <f>'5'!E68</f>
        <v>1500</v>
      </c>
      <c r="H468" s="357">
        <f>'5'!F68</f>
        <v>1500</v>
      </c>
    </row>
    <row r="469" spans="1:8" ht="33" hidden="1" customHeight="1" x14ac:dyDescent="0.2">
      <c r="A469" s="259" t="s">
        <v>805</v>
      </c>
      <c r="B469" s="127" t="s">
        <v>211</v>
      </c>
      <c r="C469" s="127" t="s">
        <v>668</v>
      </c>
      <c r="D469" s="127" t="s">
        <v>42</v>
      </c>
      <c r="E469" s="127" t="s">
        <v>222</v>
      </c>
      <c r="F469" s="357">
        <f t="shared" ref="F469:H470" si="101">F470</f>
        <v>0</v>
      </c>
      <c r="G469" s="357">
        <f t="shared" si="101"/>
        <v>0</v>
      </c>
      <c r="H469" s="357">
        <f t="shared" si="101"/>
        <v>0</v>
      </c>
    </row>
    <row r="470" spans="1:8" ht="33.75" hidden="1" customHeight="1" x14ac:dyDescent="0.2">
      <c r="A470" s="250" t="s">
        <v>806</v>
      </c>
      <c r="B470" s="127" t="s">
        <v>211</v>
      </c>
      <c r="C470" s="127" t="s">
        <v>668</v>
      </c>
      <c r="D470" s="127" t="s">
        <v>807</v>
      </c>
      <c r="E470" s="127" t="s">
        <v>222</v>
      </c>
      <c r="F470" s="357">
        <f t="shared" si="101"/>
        <v>0</v>
      </c>
      <c r="G470" s="357">
        <f t="shared" si="101"/>
        <v>0</v>
      </c>
      <c r="H470" s="357">
        <f t="shared" si="101"/>
        <v>0</v>
      </c>
    </row>
    <row r="471" spans="1:8" ht="50.25" hidden="1" customHeight="1" x14ac:dyDescent="0.2">
      <c r="A471" s="250" t="s">
        <v>715</v>
      </c>
      <c r="B471" s="127" t="s">
        <v>211</v>
      </c>
      <c r="C471" s="127" t="s">
        <v>668</v>
      </c>
      <c r="D471" s="127" t="s">
        <v>807</v>
      </c>
      <c r="E471" s="127" t="s">
        <v>714</v>
      </c>
      <c r="F471" s="357">
        <f>F472+F473+F474+F475</f>
        <v>0</v>
      </c>
      <c r="G471" s="357">
        <f>G472+G473+G474+G475</f>
        <v>0</v>
      </c>
      <c r="H471" s="357">
        <f>H472+H473+H474+H475</f>
        <v>0</v>
      </c>
    </row>
    <row r="472" spans="1:8" ht="35.25" hidden="1" customHeight="1" x14ac:dyDescent="0.2">
      <c r="A472" s="250" t="s">
        <v>808</v>
      </c>
      <c r="B472" s="127" t="s">
        <v>211</v>
      </c>
      <c r="C472" s="127" t="s">
        <v>668</v>
      </c>
      <c r="D472" s="127" t="s">
        <v>43</v>
      </c>
      <c r="E472" s="127" t="s">
        <v>165</v>
      </c>
      <c r="F472" s="357"/>
      <c r="G472" s="357"/>
      <c r="H472" s="357"/>
    </row>
    <row r="473" spans="1:8" ht="31.5" hidden="1" x14ac:dyDescent="0.2">
      <c r="A473" s="250" t="s">
        <v>809</v>
      </c>
      <c r="B473" s="127" t="s">
        <v>211</v>
      </c>
      <c r="C473" s="127" t="s">
        <v>668</v>
      </c>
      <c r="D473" s="127" t="s">
        <v>44</v>
      </c>
      <c r="E473" s="127" t="s">
        <v>165</v>
      </c>
      <c r="F473" s="357"/>
      <c r="G473" s="357"/>
      <c r="H473" s="357"/>
    </row>
    <row r="474" spans="1:8" ht="31.5" hidden="1" customHeight="1" x14ac:dyDescent="0.2">
      <c r="A474" s="250" t="s">
        <v>810</v>
      </c>
      <c r="B474" s="127" t="s">
        <v>211</v>
      </c>
      <c r="C474" s="127" t="s">
        <v>668</v>
      </c>
      <c r="D474" s="127" t="s">
        <v>45</v>
      </c>
      <c r="E474" s="127" t="s">
        <v>165</v>
      </c>
      <c r="F474" s="357"/>
      <c r="G474" s="357"/>
      <c r="H474" s="357"/>
    </row>
    <row r="475" spans="1:8" ht="34.5" hidden="1" customHeight="1" x14ac:dyDescent="0.2">
      <c r="A475" s="250" t="s">
        <v>811</v>
      </c>
      <c r="B475" s="127" t="s">
        <v>211</v>
      </c>
      <c r="C475" s="127" t="s">
        <v>668</v>
      </c>
      <c r="D475" s="127" t="s">
        <v>46</v>
      </c>
      <c r="E475" s="127" t="s">
        <v>165</v>
      </c>
      <c r="F475" s="357"/>
      <c r="G475" s="357"/>
      <c r="H475" s="357"/>
    </row>
    <row r="476" spans="1:8" ht="51.75" customHeight="1" x14ac:dyDescent="0.2">
      <c r="A476" s="251" t="s">
        <v>812</v>
      </c>
      <c r="B476" s="8" t="s">
        <v>211</v>
      </c>
      <c r="C476" s="8" t="s">
        <v>668</v>
      </c>
      <c r="D476" s="8" t="s">
        <v>22</v>
      </c>
      <c r="E476" s="8" t="s">
        <v>222</v>
      </c>
      <c r="F476" s="357">
        <f>F477</f>
        <v>257750.0214</v>
      </c>
      <c r="G476" s="357">
        <f t="shared" ref="G476:H477" si="102">G477</f>
        <v>267175.44</v>
      </c>
      <c r="H476" s="357">
        <f t="shared" si="102"/>
        <v>283183.27899999998</v>
      </c>
    </row>
    <row r="477" spans="1:8" ht="57" customHeight="1" x14ac:dyDescent="0.2">
      <c r="A477" s="259" t="s">
        <v>800</v>
      </c>
      <c r="B477" s="127" t="s">
        <v>211</v>
      </c>
      <c r="C477" s="127" t="s">
        <v>668</v>
      </c>
      <c r="D477" s="127" t="s">
        <v>35</v>
      </c>
      <c r="E477" s="127" t="s">
        <v>222</v>
      </c>
      <c r="F477" s="357">
        <f>F478</f>
        <v>257750.0214</v>
      </c>
      <c r="G477" s="357">
        <f t="shared" si="102"/>
        <v>267175.44</v>
      </c>
      <c r="H477" s="357">
        <f t="shared" si="102"/>
        <v>283183.27899999998</v>
      </c>
    </row>
    <row r="478" spans="1:8" s="130" customFormat="1" ht="16.5" customHeight="1" x14ac:dyDescent="0.2">
      <c r="A478" s="251" t="s">
        <v>704</v>
      </c>
      <c r="B478" s="8" t="s">
        <v>211</v>
      </c>
      <c r="C478" s="8" t="s">
        <v>668</v>
      </c>
      <c r="D478" s="8" t="s">
        <v>22</v>
      </c>
      <c r="E478" s="8" t="s">
        <v>222</v>
      </c>
      <c r="F478" s="131">
        <f>F479+F482+F485</f>
        <v>257750.0214</v>
      </c>
      <c r="G478" s="131">
        <f t="shared" ref="G478:H478" si="103">G479+G482+G485</f>
        <v>267175.44</v>
      </c>
      <c r="H478" s="131">
        <f t="shared" si="103"/>
        <v>283183.27899999998</v>
      </c>
    </row>
    <row r="479" spans="1:8" s="130" customFormat="1" ht="69" customHeight="1" x14ac:dyDescent="0.2">
      <c r="A479" s="251" t="s">
        <v>813</v>
      </c>
      <c r="B479" s="8" t="s">
        <v>211</v>
      </c>
      <c r="C479" s="8" t="s">
        <v>668</v>
      </c>
      <c r="D479" s="8" t="s">
        <v>35</v>
      </c>
      <c r="E479" s="8" t="s">
        <v>222</v>
      </c>
      <c r="F479" s="131">
        <f t="shared" ref="F479:H480" si="104">F480</f>
        <v>3980.534200000001</v>
      </c>
      <c r="G479" s="131">
        <f t="shared" si="104"/>
        <v>0</v>
      </c>
      <c r="H479" s="131">
        <f t="shared" si="104"/>
        <v>0</v>
      </c>
    </row>
    <row r="480" spans="1:8" ht="49.5" customHeight="1" x14ac:dyDescent="0.2">
      <c r="A480" s="250" t="s">
        <v>715</v>
      </c>
      <c r="B480" s="127" t="s">
        <v>211</v>
      </c>
      <c r="C480" s="127" t="s">
        <v>668</v>
      </c>
      <c r="D480" s="127" t="s">
        <v>324</v>
      </c>
      <c r="E480" s="127" t="s">
        <v>714</v>
      </c>
      <c r="F480" s="357">
        <f>F481</f>
        <v>3980.534200000001</v>
      </c>
      <c r="G480" s="357">
        <f t="shared" si="104"/>
        <v>0</v>
      </c>
      <c r="H480" s="357">
        <f t="shared" si="104"/>
        <v>0</v>
      </c>
    </row>
    <row r="481" spans="1:8" ht="18" customHeight="1" x14ac:dyDescent="0.2">
      <c r="A481" s="250" t="s">
        <v>124</v>
      </c>
      <c r="B481" s="127" t="s">
        <v>211</v>
      </c>
      <c r="C481" s="127" t="s">
        <v>668</v>
      </c>
      <c r="D481" s="127" t="s">
        <v>324</v>
      </c>
      <c r="E481" s="127" t="s">
        <v>165</v>
      </c>
      <c r="F481" s="357">
        <f>'5'!D50-F801</f>
        <v>3980.534200000001</v>
      </c>
      <c r="G481" s="357">
        <f>'5'!E50</f>
        <v>0</v>
      </c>
      <c r="H481" s="357">
        <f>'5'!F50</f>
        <v>0</v>
      </c>
    </row>
    <row r="482" spans="1:8" ht="84" customHeight="1" x14ac:dyDescent="0.2">
      <c r="A482" s="251" t="s">
        <v>414</v>
      </c>
      <c r="B482" s="8" t="s">
        <v>211</v>
      </c>
      <c r="C482" s="8" t="s">
        <v>668</v>
      </c>
      <c r="D482" s="8" t="s">
        <v>531</v>
      </c>
      <c r="E482" s="8" t="s">
        <v>222</v>
      </c>
      <c r="F482" s="131">
        <f t="shared" ref="F482:H483" si="105">F483</f>
        <v>2380.3292000000001</v>
      </c>
      <c r="G482" s="131">
        <f t="shared" si="105"/>
        <v>0</v>
      </c>
      <c r="H482" s="131">
        <f t="shared" si="105"/>
        <v>0</v>
      </c>
    </row>
    <row r="483" spans="1:8" ht="52.5" customHeight="1" x14ac:dyDescent="0.2">
      <c r="A483" s="250" t="s">
        <v>715</v>
      </c>
      <c r="B483" s="127" t="s">
        <v>211</v>
      </c>
      <c r="C483" s="127" t="s">
        <v>668</v>
      </c>
      <c r="D483" s="127" t="s">
        <v>531</v>
      </c>
      <c r="E483" s="127" t="s">
        <v>714</v>
      </c>
      <c r="F483" s="357">
        <f t="shared" si="105"/>
        <v>2380.3292000000001</v>
      </c>
      <c r="G483" s="357">
        <f t="shared" si="105"/>
        <v>0</v>
      </c>
      <c r="H483" s="357">
        <f t="shared" si="105"/>
        <v>0</v>
      </c>
    </row>
    <row r="484" spans="1:8" ht="20.25" customHeight="1" x14ac:dyDescent="0.2">
      <c r="A484" s="250" t="s">
        <v>124</v>
      </c>
      <c r="B484" s="127" t="s">
        <v>211</v>
      </c>
      <c r="C484" s="127" t="s">
        <v>668</v>
      </c>
      <c r="D484" s="127" t="s">
        <v>531</v>
      </c>
      <c r="E484" s="127" t="s">
        <v>165</v>
      </c>
      <c r="F484" s="357">
        <f>'5'!D52</f>
        <v>2380.3292000000001</v>
      </c>
      <c r="G484" s="357">
        <f>'5'!E52</f>
        <v>0</v>
      </c>
      <c r="H484" s="357">
        <f>'5'!F52</f>
        <v>0</v>
      </c>
    </row>
    <row r="485" spans="1:8" s="130" customFormat="1" ht="87" customHeight="1" x14ac:dyDescent="0.2">
      <c r="A485" s="251" t="s">
        <v>814</v>
      </c>
      <c r="B485" s="8" t="s">
        <v>211</v>
      </c>
      <c r="C485" s="8" t="s">
        <v>668</v>
      </c>
      <c r="D485" s="8" t="s">
        <v>35</v>
      </c>
      <c r="E485" s="8" t="s">
        <v>222</v>
      </c>
      <c r="F485" s="131">
        <f t="shared" ref="F485:H486" si="106">F486</f>
        <v>251389.158</v>
      </c>
      <c r="G485" s="131">
        <f t="shared" si="106"/>
        <v>267175.44</v>
      </c>
      <c r="H485" s="131">
        <f t="shared" si="106"/>
        <v>283183.27899999998</v>
      </c>
    </row>
    <row r="486" spans="1:8" ht="55.5" customHeight="1" x14ac:dyDescent="0.2">
      <c r="A486" s="250" t="s">
        <v>715</v>
      </c>
      <c r="B486" s="127" t="s">
        <v>211</v>
      </c>
      <c r="C486" s="127" t="s">
        <v>668</v>
      </c>
      <c r="D486" s="127" t="s">
        <v>47</v>
      </c>
      <c r="E486" s="127" t="s">
        <v>714</v>
      </c>
      <c r="F486" s="128">
        <f t="shared" si="106"/>
        <v>251389.158</v>
      </c>
      <c r="G486" s="128">
        <f t="shared" si="106"/>
        <v>267175.44</v>
      </c>
      <c r="H486" s="128">
        <f t="shared" si="106"/>
        <v>283183.27899999998</v>
      </c>
    </row>
    <row r="487" spans="1:8" ht="21.75" customHeight="1" x14ac:dyDescent="0.2">
      <c r="A487" s="250" t="s">
        <v>124</v>
      </c>
      <c r="B487" s="127" t="s">
        <v>211</v>
      </c>
      <c r="C487" s="127" t="s">
        <v>668</v>
      </c>
      <c r="D487" s="127" t="s">
        <v>47</v>
      </c>
      <c r="E487" s="127" t="s">
        <v>165</v>
      </c>
      <c r="F487" s="357">
        <f>'5'!D49</f>
        <v>251389.158</v>
      </c>
      <c r="G487" s="357">
        <f>'5'!E49</f>
        <v>267175.44</v>
      </c>
      <c r="H487" s="357">
        <f>'5'!F49</f>
        <v>283183.27899999998</v>
      </c>
    </row>
    <row r="488" spans="1:8" ht="107.25" customHeight="1" x14ac:dyDescent="0.2">
      <c r="A488" s="251" t="s">
        <v>411</v>
      </c>
      <c r="B488" s="8" t="s">
        <v>211</v>
      </c>
      <c r="C488" s="8" t="s">
        <v>668</v>
      </c>
      <c r="D488" s="8" t="s">
        <v>415</v>
      </c>
      <c r="E488" s="8" t="s">
        <v>222</v>
      </c>
      <c r="F488" s="129">
        <f t="shared" ref="F488:H489" si="107">F489</f>
        <v>41607.54</v>
      </c>
      <c r="G488" s="129">
        <f t="shared" si="107"/>
        <v>21411</v>
      </c>
      <c r="H488" s="129">
        <f t="shared" si="107"/>
        <v>21411</v>
      </c>
    </row>
    <row r="489" spans="1:8" ht="50.25" customHeight="1" x14ac:dyDescent="0.2">
      <c r="A489" s="250" t="s">
        <v>715</v>
      </c>
      <c r="B489" s="127" t="s">
        <v>211</v>
      </c>
      <c r="C489" s="127" t="s">
        <v>668</v>
      </c>
      <c r="D489" s="127" t="s">
        <v>415</v>
      </c>
      <c r="E489" s="127" t="s">
        <v>714</v>
      </c>
      <c r="F489" s="128">
        <f t="shared" si="107"/>
        <v>41607.54</v>
      </c>
      <c r="G489" s="128">
        <f t="shared" si="107"/>
        <v>21411</v>
      </c>
      <c r="H489" s="128">
        <f t="shared" si="107"/>
        <v>21411</v>
      </c>
    </row>
    <row r="490" spans="1:8" ht="21.75" customHeight="1" x14ac:dyDescent="0.2">
      <c r="A490" s="257" t="s">
        <v>124</v>
      </c>
      <c r="B490" s="133" t="s">
        <v>211</v>
      </c>
      <c r="C490" s="133" t="s">
        <v>668</v>
      </c>
      <c r="D490" s="133" t="s">
        <v>415</v>
      </c>
      <c r="E490" s="133" t="s">
        <v>165</v>
      </c>
      <c r="F490" s="357">
        <f>'5'!D53</f>
        <v>41607.54</v>
      </c>
      <c r="G490" s="357">
        <f>'5'!E53</f>
        <v>21411</v>
      </c>
      <c r="H490" s="357">
        <f>'5'!F53</f>
        <v>21411</v>
      </c>
    </row>
    <row r="491" spans="1:8" ht="117.75" customHeight="1" x14ac:dyDescent="0.2">
      <c r="A491" s="256" t="s">
        <v>598</v>
      </c>
      <c r="B491" s="147" t="s">
        <v>211</v>
      </c>
      <c r="C491" s="147" t="s">
        <v>668</v>
      </c>
      <c r="D491" s="156" t="s">
        <v>599</v>
      </c>
      <c r="E491" s="147" t="s">
        <v>222</v>
      </c>
      <c r="F491" s="131">
        <f t="shared" ref="F491:H495" si="108">F492</f>
        <v>1249.4748</v>
      </c>
      <c r="G491" s="131">
        <f t="shared" si="108"/>
        <v>3382.85664</v>
      </c>
      <c r="H491" s="131">
        <f t="shared" si="108"/>
        <v>4228.5708000000004</v>
      </c>
    </row>
    <row r="492" spans="1:8" ht="54" customHeight="1" x14ac:dyDescent="0.2">
      <c r="A492" s="257" t="s">
        <v>715</v>
      </c>
      <c r="B492" s="133" t="s">
        <v>211</v>
      </c>
      <c r="C492" s="133" t="s">
        <v>668</v>
      </c>
      <c r="D492" s="153" t="s">
        <v>599</v>
      </c>
      <c r="E492" s="133" t="s">
        <v>714</v>
      </c>
      <c r="F492" s="357">
        <f t="shared" si="108"/>
        <v>1249.4748</v>
      </c>
      <c r="G492" s="357">
        <f t="shared" si="108"/>
        <v>3382.85664</v>
      </c>
      <c r="H492" s="357">
        <f t="shared" si="108"/>
        <v>4228.5708000000004</v>
      </c>
    </row>
    <row r="493" spans="1:8" ht="21.75" customHeight="1" x14ac:dyDescent="0.2">
      <c r="A493" s="257" t="s">
        <v>124</v>
      </c>
      <c r="B493" s="133" t="s">
        <v>211</v>
      </c>
      <c r="C493" s="133" t="s">
        <v>668</v>
      </c>
      <c r="D493" s="157" t="s">
        <v>599</v>
      </c>
      <c r="E493" s="133" t="s">
        <v>165</v>
      </c>
      <c r="F493" s="357">
        <f>'5'!D54</f>
        <v>1249.4748</v>
      </c>
      <c r="G493" s="357">
        <f>'5'!E54</f>
        <v>3382.85664</v>
      </c>
      <c r="H493" s="357">
        <f>'5'!F54</f>
        <v>4228.5708000000004</v>
      </c>
    </row>
    <row r="494" spans="1:8" ht="173.25" customHeight="1" x14ac:dyDescent="0.2">
      <c r="A494" s="263" t="s">
        <v>1131</v>
      </c>
      <c r="B494" s="3" t="s">
        <v>211</v>
      </c>
      <c r="C494" s="4" t="s">
        <v>668</v>
      </c>
      <c r="D494" s="352" t="s">
        <v>1133</v>
      </c>
      <c r="E494" s="353" t="s">
        <v>222</v>
      </c>
      <c r="F494" s="357" t="str">
        <f t="shared" si="108"/>
        <v>166,656</v>
      </c>
      <c r="G494" s="11">
        <v>0</v>
      </c>
      <c r="H494" s="11">
        <v>0</v>
      </c>
    </row>
    <row r="495" spans="1:8" ht="51" customHeight="1" x14ac:dyDescent="0.2">
      <c r="A495" s="254" t="s">
        <v>715</v>
      </c>
      <c r="B495" s="3" t="s">
        <v>211</v>
      </c>
      <c r="C495" s="4" t="s">
        <v>668</v>
      </c>
      <c r="D495" s="353" t="s">
        <v>1133</v>
      </c>
      <c r="E495" s="354">
        <v>600</v>
      </c>
      <c r="F495" s="357" t="str">
        <f t="shared" si="108"/>
        <v>166,656</v>
      </c>
      <c r="G495" s="11">
        <v>0</v>
      </c>
      <c r="H495" s="11">
        <v>0</v>
      </c>
    </row>
    <row r="496" spans="1:8" ht="21.75" customHeight="1" x14ac:dyDescent="0.2">
      <c r="A496" s="254" t="s">
        <v>124</v>
      </c>
      <c r="B496" s="3" t="s">
        <v>211</v>
      </c>
      <c r="C496" s="4" t="s">
        <v>668</v>
      </c>
      <c r="D496" s="353" t="s">
        <v>1133</v>
      </c>
      <c r="E496" s="354">
        <v>610</v>
      </c>
      <c r="F496" s="4" t="s">
        <v>1132</v>
      </c>
      <c r="G496" s="11">
        <v>0</v>
      </c>
      <c r="H496" s="11">
        <v>0</v>
      </c>
    </row>
    <row r="497" spans="1:8" ht="54.75" customHeight="1" x14ac:dyDescent="0.2">
      <c r="A497" s="265" t="s">
        <v>1075</v>
      </c>
      <c r="B497" s="238" t="s">
        <v>211</v>
      </c>
      <c r="C497" s="238" t="s">
        <v>668</v>
      </c>
      <c r="D497" s="238" t="s">
        <v>22</v>
      </c>
      <c r="E497" s="238" t="s">
        <v>222</v>
      </c>
      <c r="F497" s="239">
        <f>F498</f>
        <v>17488.3851</v>
      </c>
      <c r="G497" s="239">
        <f>G498</f>
        <v>27452.799999999999</v>
      </c>
      <c r="H497" s="239">
        <f>H498</f>
        <v>27106</v>
      </c>
    </row>
    <row r="498" spans="1:8" ht="25.9" customHeight="1" x14ac:dyDescent="0.2">
      <c r="A498" s="251" t="s">
        <v>704</v>
      </c>
      <c r="B498" s="8" t="s">
        <v>211</v>
      </c>
      <c r="C498" s="8" t="s">
        <v>668</v>
      </c>
      <c r="D498" s="8" t="s">
        <v>22</v>
      </c>
      <c r="E498" s="8" t="s">
        <v>222</v>
      </c>
      <c r="F498" s="129">
        <f>F499+F502+F505</f>
        <v>17488.3851</v>
      </c>
      <c r="G498" s="129">
        <f>G499+G502+G505</f>
        <v>27452.799999999999</v>
      </c>
      <c r="H498" s="129">
        <f>H499+H502+H505</f>
        <v>27106</v>
      </c>
    </row>
    <row r="499" spans="1:8" s="143" customFormat="1" ht="71.25" customHeight="1" x14ac:dyDescent="0.25">
      <c r="A499" s="258" t="s">
        <v>813</v>
      </c>
      <c r="B499" s="135" t="s">
        <v>211</v>
      </c>
      <c r="C499" s="135" t="s">
        <v>668</v>
      </c>
      <c r="D499" s="135" t="s">
        <v>22</v>
      </c>
      <c r="E499" s="135" t="s">
        <v>222</v>
      </c>
      <c r="F499" s="148">
        <f t="shared" ref="F499:H500" si="109">F500</f>
        <v>5721.3142999999991</v>
      </c>
      <c r="G499" s="136">
        <f t="shared" si="109"/>
        <v>11534.25</v>
      </c>
      <c r="H499" s="136">
        <f t="shared" si="109"/>
        <v>11534.25</v>
      </c>
    </row>
    <row r="500" spans="1:8" ht="52.5" customHeight="1" x14ac:dyDescent="0.2">
      <c r="A500" s="250" t="s">
        <v>715</v>
      </c>
      <c r="B500" s="127" t="s">
        <v>211</v>
      </c>
      <c r="C500" s="127" t="s">
        <v>668</v>
      </c>
      <c r="D500" s="127" t="s">
        <v>1089</v>
      </c>
      <c r="E500" s="127" t="s">
        <v>714</v>
      </c>
      <c r="F500" s="357">
        <f t="shared" si="109"/>
        <v>5721.3142999999991</v>
      </c>
      <c r="G500" s="357">
        <f t="shared" si="109"/>
        <v>11534.25</v>
      </c>
      <c r="H500" s="357">
        <f t="shared" si="109"/>
        <v>11534.25</v>
      </c>
    </row>
    <row r="501" spans="1:8" ht="25.9" customHeight="1" x14ac:dyDescent="0.2">
      <c r="A501" s="250" t="s">
        <v>124</v>
      </c>
      <c r="B501" s="127" t="s">
        <v>211</v>
      </c>
      <c r="C501" s="127" t="s">
        <v>668</v>
      </c>
      <c r="D501" s="127" t="s">
        <v>1089</v>
      </c>
      <c r="E501" s="127" t="s">
        <v>165</v>
      </c>
      <c r="F501" s="357">
        <f>'5'!D102</f>
        <v>5721.3142999999991</v>
      </c>
      <c r="G501" s="357">
        <f>'5'!E102-G801</f>
        <v>11534.25</v>
      </c>
      <c r="H501" s="357">
        <f>'5'!F102-H801</f>
        <v>11534.25</v>
      </c>
    </row>
    <row r="502" spans="1:8" s="143" customFormat="1" ht="102" customHeight="1" x14ac:dyDescent="0.25">
      <c r="A502" s="258" t="s">
        <v>414</v>
      </c>
      <c r="B502" s="135" t="s">
        <v>211</v>
      </c>
      <c r="C502" s="135" t="s">
        <v>668</v>
      </c>
      <c r="D502" s="135" t="s">
        <v>1072</v>
      </c>
      <c r="E502" s="135" t="s">
        <v>222</v>
      </c>
      <c r="F502" s="148">
        <f t="shared" ref="F502:H503" si="110">F503</f>
        <v>11767.0708</v>
      </c>
      <c r="G502" s="148">
        <f t="shared" si="110"/>
        <v>15880.55</v>
      </c>
      <c r="H502" s="148">
        <f t="shared" si="110"/>
        <v>15533.75</v>
      </c>
    </row>
    <row r="503" spans="1:8" ht="56.25" customHeight="1" x14ac:dyDescent="0.2">
      <c r="A503" s="250" t="s">
        <v>715</v>
      </c>
      <c r="B503" s="127" t="s">
        <v>211</v>
      </c>
      <c r="C503" s="127" t="s">
        <v>668</v>
      </c>
      <c r="D503" s="127" t="s">
        <v>1072</v>
      </c>
      <c r="E503" s="127" t="s">
        <v>714</v>
      </c>
      <c r="F503" s="357">
        <f t="shared" si="110"/>
        <v>11767.0708</v>
      </c>
      <c r="G503" s="357">
        <f t="shared" si="110"/>
        <v>15880.55</v>
      </c>
      <c r="H503" s="357">
        <f t="shared" si="110"/>
        <v>15533.75</v>
      </c>
    </row>
    <row r="504" spans="1:8" ht="23.25" customHeight="1" x14ac:dyDescent="0.2">
      <c r="A504" s="250" t="s">
        <v>124</v>
      </c>
      <c r="B504" s="127" t="s">
        <v>211</v>
      </c>
      <c r="C504" s="127" t="s">
        <v>668</v>
      </c>
      <c r="D504" s="127" t="s">
        <v>1072</v>
      </c>
      <c r="E504" s="127" t="s">
        <v>165</v>
      </c>
      <c r="F504" s="357">
        <f>'5'!D103</f>
        <v>11767.0708</v>
      </c>
      <c r="G504" s="357">
        <f>'5'!E103</f>
        <v>15880.55</v>
      </c>
      <c r="H504" s="357">
        <f>'5'!F103</f>
        <v>15533.75</v>
      </c>
    </row>
    <row r="505" spans="1:8" s="142" customFormat="1" ht="54" customHeight="1" x14ac:dyDescent="0.2">
      <c r="A505" s="258" t="s">
        <v>1074</v>
      </c>
      <c r="B505" s="135" t="s">
        <v>211</v>
      </c>
      <c r="C505" s="135" t="s">
        <v>668</v>
      </c>
      <c r="D505" s="135" t="s">
        <v>1073</v>
      </c>
      <c r="E505" s="135" t="s">
        <v>222</v>
      </c>
      <c r="F505" s="148">
        <f>F506</f>
        <v>0</v>
      </c>
      <c r="G505" s="148">
        <f t="shared" ref="G505:H506" si="111">G506</f>
        <v>38</v>
      </c>
      <c r="H505" s="148">
        <f t="shared" si="111"/>
        <v>38</v>
      </c>
    </row>
    <row r="506" spans="1:8" ht="52.5" customHeight="1" x14ac:dyDescent="0.2">
      <c r="A506" s="250" t="s">
        <v>715</v>
      </c>
      <c r="B506" s="127" t="s">
        <v>211</v>
      </c>
      <c r="C506" s="127" t="s">
        <v>668</v>
      </c>
      <c r="D506" s="127" t="s">
        <v>1073</v>
      </c>
      <c r="E506" s="127" t="s">
        <v>714</v>
      </c>
      <c r="F506" s="357">
        <f>F507</f>
        <v>0</v>
      </c>
      <c r="G506" s="357">
        <f t="shared" si="111"/>
        <v>38</v>
      </c>
      <c r="H506" s="357">
        <f t="shared" si="111"/>
        <v>38</v>
      </c>
    </row>
    <row r="507" spans="1:8" ht="22.5" customHeight="1" x14ac:dyDescent="0.2">
      <c r="A507" s="250" t="s">
        <v>124</v>
      </c>
      <c r="B507" s="127" t="s">
        <v>211</v>
      </c>
      <c r="C507" s="127" t="s">
        <v>668</v>
      </c>
      <c r="D507" s="127" t="s">
        <v>1073</v>
      </c>
      <c r="E507" s="127" t="s">
        <v>165</v>
      </c>
      <c r="F507" s="357">
        <f>'5'!D104</f>
        <v>0</v>
      </c>
      <c r="G507" s="357">
        <f>'5'!E104</f>
        <v>38</v>
      </c>
      <c r="H507" s="357">
        <v>38</v>
      </c>
    </row>
    <row r="508" spans="1:8" ht="20.25" customHeight="1" x14ac:dyDescent="0.2">
      <c r="A508" s="249" t="s">
        <v>815</v>
      </c>
      <c r="B508" s="122" t="s">
        <v>211</v>
      </c>
      <c r="C508" s="122" t="s">
        <v>111</v>
      </c>
      <c r="D508" s="122" t="s">
        <v>666</v>
      </c>
      <c r="E508" s="122" t="s">
        <v>222</v>
      </c>
      <c r="F508" s="123">
        <f>F509+F554+F533+F538+F546+F526</f>
        <v>55569.917709999994</v>
      </c>
      <c r="G508" s="123">
        <f t="shared" ref="G508:H508" si="112">G509+G554+G533+G538+G546+G526</f>
        <v>42276.503009999993</v>
      </c>
      <c r="H508" s="123">
        <f t="shared" si="112"/>
        <v>42084.301009999996</v>
      </c>
    </row>
    <row r="509" spans="1:8" s="130" customFormat="1" ht="48.75" customHeight="1" x14ac:dyDescent="0.2">
      <c r="A509" s="251" t="s">
        <v>812</v>
      </c>
      <c r="B509" s="8" t="s">
        <v>211</v>
      </c>
      <c r="C509" s="8" t="s">
        <v>111</v>
      </c>
      <c r="D509" s="8" t="s">
        <v>22</v>
      </c>
      <c r="E509" s="8" t="s">
        <v>222</v>
      </c>
      <c r="F509" s="129">
        <f>F510</f>
        <v>34237.004819999995</v>
      </c>
      <c r="G509" s="129">
        <f t="shared" ref="G509:H509" si="113">G510</f>
        <v>25387</v>
      </c>
      <c r="H509" s="129">
        <f t="shared" si="113"/>
        <v>25387</v>
      </c>
    </row>
    <row r="510" spans="1:8" ht="33.75" customHeight="1" x14ac:dyDescent="0.2">
      <c r="A510" s="259" t="s">
        <v>805</v>
      </c>
      <c r="B510" s="127" t="s">
        <v>211</v>
      </c>
      <c r="C510" s="127" t="s">
        <v>111</v>
      </c>
      <c r="D510" s="127" t="s">
        <v>42</v>
      </c>
      <c r="E510" s="127" t="s">
        <v>222</v>
      </c>
      <c r="F510" s="128">
        <f>F511+F519+F515+F521</f>
        <v>34237.004819999995</v>
      </c>
      <c r="G510" s="128">
        <f>G511+G519+G515+G521</f>
        <v>25387</v>
      </c>
      <c r="H510" s="128">
        <f t="shared" ref="H510" si="114">H511+H519+H515+H521</f>
        <v>25387</v>
      </c>
    </row>
    <row r="511" spans="1:8" ht="30" customHeight="1" x14ac:dyDescent="0.2">
      <c r="A511" s="250" t="s">
        <v>806</v>
      </c>
      <c r="B511" s="127" t="s">
        <v>211</v>
      </c>
      <c r="C511" s="127" t="s">
        <v>111</v>
      </c>
      <c r="D511" s="127" t="s">
        <v>807</v>
      </c>
      <c r="E511" s="127" t="s">
        <v>222</v>
      </c>
      <c r="F511" s="128">
        <f>F512</f>
        <v>32370.771479999996</v>
      </c>
      <c r="G511" s="128">
        <f t="shared" ref="G511:H511" si="115">G512</f>
        <v>23349.132000000001</v>
      </c>
      <c r="H511" s="128">
        <f t="shared" si="115"/>
        <v>23349.132000000001</v>
      </c>
    </row>
    <row r="512" spans="1:8" ht="52.5" customHeight="1" x14ac:dyDescent="0.2">
      <c r="A512" s="250" t="s">
        <v>715</v>
      </c>
      <c r="B512" s="127" t="s">
        <v>211</v>
      </c>
      <c r="C512" s="127" t="s">
        <v>111</v>
      </c>
      <c r="D512" s="127" t="s">
        <v>807</v>
      </c>
      <c r="E512" s="127" t="s">
        <v>714</v>
      </c>
      <c r="F512" s="357">
        <f>F513+F514+F520+F525</f>
        <v>32370.771479999996</v>
      </c>
      <c r="G512" s="128">
        <f t="shared" ref="G512:H512" si="116">G513+G514+G520+G525</f>
        <v>23349.132000000001</v>
      </c>
      <c r="H512" s="128">
        <f t="shared" si="116"/>
        <v>23349.132000000001</v>
      </c>
    </row>
    <row r="513" spans="1:8" ht="36" customHeight="1" x14ac:dyDescent="0.2">
      <c r="A513" s="250" t="s">
        <v>449</v>
      </c>
      <c r="B513" s="127" t="s">
        <v>211</v>
      </c>
      <c r="C513" s="127" t="s">
        <v>111</v>
      </c>
      <c r="D513" s="127" t="s">
        <v>450</v>
      </c>
      <c r="E513" s="127" t="s">
        <v>165</v>
      </c>
      <c r="F513" s="357">
        <f>'5'!D72</f>
        <v>50</v>
      </c>
      <c r="G513" s="357">
        <f>'5'!E72</f>
        <v>0</v>
      </c>
      <c r="H513" s="357">
        <f>'5'!F72</f>
        <v>0</v>
      </c>
    </row>
    <row r="514" spans="1:8" ht="35.1" customHeight="1" x14ac:dyDescent="0.2">
      <c r="A514" s="250" t="s">
        <v>521</v>
      </c>
      <c r="B514" s="127" t="s">
        <v>211</v>
      </c>
      <c r="C514" s="127" t="s">
        <v>111</v>
      </c>
      <c r="D514" s="127" t="s">
        <v>43</v>
      </c>
      <c r="E514" s="127" t="s">
        <v>165</v>
      </c>
      <c r="F514" s="357">
        <f>'5'!D75</f>
        <v>12248.599999999999</v>
      </c>
      <c r="G514" s="357">
        <f>'5'!E75</f>
        <v>7974.3330000000005</v>
      </c>
      <c r="H514" s="357">
        <f>'5'!F75</f>
        <v>7974.3330000000005</v>
      </c>
    </row>
    <row r="515" spans="1:8" ht="54.6" customHeight="1" x14ac:dyDescent="0.2">
      <c r="A515" s="250" t="s">
        <v>816</v>
      </c>
      <c r="B515" s="127" t="s">
        <v>211</v>
      </c>
      <c r="C515" s="127" t="s">
        <v>111</v>
      </c>
      <c r="D515" s="127" t="s">
        <v>532</v>
      </c>
      <c r="E515" s="127" t="s">
        <v>222</v>
      </c>
      <c r="F515" s="357">
        <f>F516</f>
        <v>725.60482000000002</v>
      </c>
      <c r="G515" s="357">
        <f t="shared" ref="G515:H515" si="117">G516</f>
        <v>860.76700000000005</v>
      </c>
      <c r="H515" s="357">
        <f t="shared" si="117"/>
        <v>860.76700000000005</v>
      </c>
    </row>
    <row r="516" spans="1:8" ht="51" customHeight="1" x14ac:dyDescent="0.2">
      <c r="A516" s="250" t="s">
        <v>715</v>
      </c>
      <c r="B516" s="127" t="s">
        <v>211</v>
      </c>
      <c r="C516" s="127" t="s">
        <v>111</v>
      </c>
      <c r="D516" s="127" t="s">
        <v>532</v>
      </c>
      <c r="E516" s="127" t="s">
        <v>714</v>
      </c>
      <c r="F516" s="357">
        <f>F517+F518</f>
        <v>725.60482000000002</v>
      </c>
      <c r="G516" s="357">
        <f t="shared" ref="G516:H516" si="118">G517+G518</f>
        <v>860.76700000000005</v>
      </c>
      <c r="H516" s="357">
        <f t="shared" si="118"/>
        <v>860.76700000000005</v>
      </c>
    </row>
    <row r="517" spans="1:8" ht="64.150000000000006" hidden="1" customHeight="1" x14ac:dyDescent="0.2">
      <c r="A517" s="250" t="s">
        <v>124</v>
      </c>
      <c r="B517" s="127" t="s">
        <v>211</v>
      </c>
      <c r="C517" s="127" t="s">
        <v>111</v>
      </c>
      <c r="D517" s="127" t="s">
        <v>532</v>
      </c>
      <c r="E517" s="127" t="s">
        <v>165</v>
      </c>
      <c r="F517" s="357"/>
      <c r="G517" s="357"/>
      <c r="H517" s="128"/>
    </row>
    <row r="518" spans="1:8" ht="64.150000000000006" customHeight="1" x14ac:dyDescent="0.2">
      <c r="A518" s="257" t="s">
        <v>636</v>
      </c>
      <c r="B518" s="133" t="s">
        <v>211</v>
      </c>
      <c r="C518" s="133" t="s">
        <v>111</v>
      </c>
      <c r="D518" s="133" t="s">
        <v>532</v>
      </c>
      <c r="E518" s="133" t="s">
        <v>165</v>
      </c>
      <c r="F518" s="357">
        <f>860.767-135.16218</f>
        <v>725.60482000000002</v>
      </c>
      <c r="G518" s="357">
        <v>860.76700000000005</v>
      </c>
      <c r="H518" s="357">
        <v>860.76700000000005</v>
      </c>
    </row>
    <row r="519" spans="1:8" ht="52.5" customHeight="1" x14ac:dyDescent="0.2">
      <c r="A519" s="257" t="s">
        <v>513</v>
      </c>
      <c r="B519" s="133" t="s">
        <v>211</v>
      </c>
      <c r="C519" s="133" t="s">
        <v>111</v>
      </c>
      <c r="D519" s="133" t="s">
        <v>439</v>
      </c>
      <c r="E519" s="133" t="s">
        <v>165</v>
      </c>
      <c r="F519" s="357">
        <f>'5'!D74</f>
        <v>135</v>
      </c>
      <c r="G519" s="357">
        <f>'5'!E74</f>
        <v>0</v>
      </c>
      <c r="H519" s="357">
        <f>'5'!F74</f>
        <v>0</v>
      </c>
    </row>
    <row r="520" spans="1:8" ht="35.25" customHeight="1" x14ac:dyDescent="0.2">
      <c r="A520" s="250" t="s">
        <v>458</v>
      </c>
      <c r="B520" s="127" t="s">
        <v>211</v>
      </c>
      <c r="C520" s="127" t="s">
        <v>111</v>
      </c>
      <c r="D520" s="127" t="s">
        <v>44</v>
      </c>
      <c r="E520" s="127" t="s">
        <v>165</v>
      </c>
      <c r="F520" s="357">
        <f>'5'!D76</f>
        <v>19040.371479999998</v>
      </c>
      <c r="G520" s="357">
        <f>'5'!E76</f>
        <v>14580.999</v>
      </c>
      <c r="H520" s="357">
        <f>'5'!F76</f>
        <v>14580.999</v>
      </c>
    </row>
    <row r="521" spans="1:8" ht="63.6" customHeight="1" x14ac:dyDescent="0.2">
      <c r="A521" s="250" t="s">
        <v>817</v>
      </c>
      <c r="B521" s="127" t="s">
        <v>211</v>
      </c>
      <c r="C521" s="127" t="s">
        <v>111</v>
      </c>
      <c r="D521" s="127" t="s">
        <v>532</v>
      </c>
      <c r="E521" s="127" t="s">
        <v>222</v>
      </c>
      <c r="F521" s="357">
        <f>F522</f>
        <v>1005.6285200000001</v>
      </c>
      <c r="G521" s="357">
        <f>G522</f>
        <v>1177.1010000000001</v>
      </c>
      <c r="H521" s="128">
        <f>H522</f>
        <v>1177.1010000000001</v>
      </c>
    </row>
    <row r="522" spans="1:8" ht="51.6" customHeight="1" x14ac:dyDescent="0.2">
      <c r="A522" s="250" t="s">
        <v>715</v>
      </c>
      <c r="B522" s="127" t="s">
        <v>211</v>
      </c>
      <c r="C522" s="127" t="s">
        <v>111</v>
      </c>
      <c r="D522" s="127" t="s">
        <v>532</v>
      </c>
      <c r="E522" s="127" t="s">
        <v>714</v>
      </c>
      <c r="F522" s="357">
        <f>F523+F524</f>
        <v>1005.6285200000001</v>
      </c>
      <c r="G522" s="357">
        <f t="shared" ref="G522:H522" si="119">G523+G524</f>
        <v>1177.1010000000001</v>
      </c>
      <c r="H522" s="357">
        <f t="shared" si="119"/>
        <v>1177.1010000000001</v>
      </c>
    </row>
    <row r="523" spans="1:8" ht="35.25" hidden="1" customHeight="1" x14ac:dyDescent="0.2">
      <c r="A523" s="250" t="s">
        <v>124</v>
      </c>
      <c r="B523" s="127" t="s">
        <v>211</v>
      </c>
      <c r="C523" s="127" t="s">
        <v>111</v>
      </c>
      <c r="D523" s="127" t="s">
        <v>532</v>
      </c>
      <c r="E523" s="127" t="s">
        <v>165</v>
      </c>
      <c r="F523" s="357"/>
      <c r="G523" s="128"/>
      <c r="H523" s="128"/>
    </row>
    <row r="524" spans="1:8" ht="116.25" customHeight="1" x14ac:dyDescent="0.2">
      <c r="A524" s="257" t="s">
        <v>636</v>
      </c>
      <c r="B524" s="133" t="s">
        <v>211</v>
      </c>
      <c r="C524" s="133" t="s">
        <v>111</v>
      </c>
      <c r="D524" s="133" t="s">
        <v>532</v>
      </c>
      <c r="E524" s="133" t="s">
        <v>165</v>
      </c>
      <c r="F524" s="357">
        <f>1177.101-171.47248</f>
        <v>1005.6285200000001</v>
      </c>
      <c r="G524" s="357">
        <v>1177.1010000000001</v>
      </c>
      <c r="H524" s="357">
        <v>1177.1010000000001</v>
      </c>
    </row>
    <row r="525" spans="1:8" ht="84.75" customHeight="1" x14ac:dyDescent="0.2">
      <c r="A525" s="250" t="s">
        <v>608</v>
      </c>
      <c r="B525" s="127" t="s">
        <v>211</v>
      </c>
      <c r="C525" s="127" t="s">
        <v>111</v>
      </c>
      <c r="D525" s="127" t="s">
        <v>459</v>
      </c>
      <c r="E525" s="127" t="s">
        <v>165</v>
      </c>
      <c r="F525" s="357">
        <f>'5'!D84</f>
        <v>1031.8</v>
      </c>
      <c r="G525" s="357">
        <f>'5'!E84</f>
        <v>793.8</v>
      </c>
      <c r="H525" s="357">
        <f>'5'!F84</f>
        <v>793.8</v>
      </c>
    </row>
    <row r="526" spans="1:8" ht="70.5" customHeight="1" x14ac:dyDescent="0.2">
      <c r="A526" s="258" t="s">
        <v>369</v>
      </c>
      <c r="B526" s="127" t="s">
        <v>211</v>
      </c>
      <c r="C526" s="127" t="s">
        <v>111</v>
      </c>
      <c r="D526" s="127" t="s">
        <v>666</v>
      </c>
      <c r="E526" s="127" t="s">
        <v>222</v>
      </c>
      <c r="F526" s="148">
        <f>F527+F530</f>
        <v>960.8492</v>
      </c>
      <c r="G526" s="148">
        <f t="shared" ref="G526:H526" si="120">G527+G530</f>
        <v>192.202</v>
      </c>
      <c r="H526" s="148">
        <f t="shared" si="120"/>
        <v>0</v>
      </c>
    </row>
    <row r="527" spans="1:8" ht="84" customHeight="1" x14ac:dyDescent="0.2">
      <c r="A527" s="250" t="s">
        <v>834</v>
      </c>
      <c r="B527" s="127" t="s">
        <v>211</v>
      </c>
      <c r="C527" s="127" t="s">
        <v>111</v>
      </c>
      <c r="D527" s="127" t="s">
        <v>835</v>
      </c>
      <c r="E527" s="127" t="s">
        <v>222</v>
      </c>
      <c r="F527" s="357">
        <f>F528</f>
        <v>951.24071000000004</v>
      </c>
      <c r="G527" s="357">
        <f t="shared" ref="G527:H528" si="121">G528</f>
        <v>0</v>
      </c>
      <c r="H527" s="357">
        <f t="shared" si="121"/>
        <v>0</v>
      </c>
    </row>
    <row r="528" spans="1:8" ht="53.25" customHeight="1" x14ac:dyDescent="0.2">
      <c r="A528" s="250" t="s">
        <v>715</v>
      </c>
      <c r="B528" s="127" t="s">
        <v>211</v>
      </c>
      <c r="C528" s="127" t="s">
        <v>111</v>
      </c>
      <c r="D528" s="127" t="s">
        <v>835</v>
      </c>
      <c r="E528" s="127" t="s">
        <v>714</v>
      </c>
      <c r="F528" s="357">
        <f>F529</f>
        <v>951.24071000000004</v>
      </c>
      <c r="G528" s="357">
        <f t="shared" si="121"/>
        <v>0</v>
      </c>
      <c r="H528" s="357">
        <f t="shared" si="121"/>
        <v>0</v>
      </c>
    </row>
    <row r="529" spans="1:8" ht="21.75" customHeight="1" x14ac:dyDescent="0.2">
      <c r="A529" s="250" t="s">
        <v>124</v>
      </c>
      <c r="B529" s="127" t="s">
        <v>211</v>
      </c>
      <c r="C529" s="127" t="s">
        <v>111</v>
      </c>
      <c r="D529" s="127" t="s">
        <v>835</v>
      </c>
      <c r="E529" s="127" t="s">
        <v>165</v>
      </c>
      <c r="F529" s="128">
        <f>'5'!D80</f>
        <v>951.24071000000004</v>
      </c>
      <c r="G529" s="128">
        <f>'5'!E80</f>
        <v>0</v>
      </c>
      <c r="H529" s="128">
        <f>'5'!F80</f>
        <v>0</v>
      </c>
    </row>
    <row r="530" spans="1:8" ht="117" customHeight="1" x14ac:dyDescent="0.2">
      <c r="A530" s="251" t="s">
        <v>1023</v>
      </c>
      <c r="B530" s="8" t="s">
        <v>211</v>
      </c>
      <c r="C530" s="8" t="s">
        <v>111</v>
      </c>
      <c r="D530" s="8" t="s">
        <v>1022</v>
      </c>
      <c r="E530" s="8" t="s">
        <v>222</v>
      </c>
      <c r="F530" s="129">
        <f>F531</f>
        <v>9.6084899999999998</v>
      </c>
      <c r="G530" s="129">
        <f t="shared" ref="G530:H531" si="122">G531</f>
        <v>192.202</v>
      </c>
      <c r="H530" s="129">
        <f t="shared" si="122"/>
        <v>0</v>
      </c>
    </row>
    <row r="531" spans="1:8" ht="56.25" customHeight="1" x14ac:dyDescent="0.2">
      <c r="A531" s="250" t="s">
        <v>715</v>
      </c>
      <c r="B531" s="127" t="s">
        <v>211</v>
      </c>
      <c r="C531" s="127" t="s">
        <v>111</v>
      </c>
      <c r="D531" s="127" t="s">
        <v>1022</v>
      </c>
      <c r="E531" s="127" t="s">
        <v>714</v>
      </c>
      <c r="F531" s="357">
        <f>F532</f>
        <v>9.6084899999999998</v>
      </c>
      <c r="G531" s="357">
        <f t="shared" si="122"/>
        <v>192.202</v>
      </c>
      <c r="H531" s="357">
        <f t="shared" si="122"/>
        <v>0</v>
      </c>
    </row>
    <row r="532" spans="1:8" ht="20.45" customHeight="1" x14ac:dyDescent="0.2">
      <c r="A532" s="250" t="s">
        <v>124</v>
      </c>
      <c r="B532" s="127" t="s">
        <v>211</v>
      </c>
      <c r="C532" s="127" t="s">
        <v>111</v>
      </c>
      <c r="D532" s="127" t="s">
        <v>1022</v>
      </c>
      <c r="E532" s="127" t="s">
        <v>165</v>
      </c>
      <c r="F532" s="357">
        <f>'5'!D81</f>
        <v>9.6084899999999998</v>
      </c>
      <c r="G532" s="357">
        <f>'5'!E81</f>
        <v>192.202</v>
      </c>
      <c r="H532" s="357">
        <v>0</v>
      </c>
    </row>
    <row r="533" spans="1:8" s="130" customFormat="1" ht="55.15" customHeight="1" x14ac:dyDescent="0.2">
      <c r="A533" s="251" t="s">
        <v>556</v>
      </c>
      <c r="B533" s="8" t="s">
        <v>211</v>
      </c>
      <c r="C533" s="8" t="s">
        <v>111</v>
      </c>
      <c r="D533" s="8" t="s">
        <v>58</v>
      </c>
      <c r="E533" s="8" t="s">
        <v>222</v>
      </c>
      <c r="F533" s="131">
        <f>F535+F541</f>
        <v>20372.063689999999</v>
      </c>
      <c r="G533" s="131">
        <f>G535+G541</f>
        <v>16697.301009999999</v>
      </c>
      <c r="H533" s="131">
        <f>H535+H541</f>
        <v>16697.301009999999</v>
      </c>
    </row>
    <row r="534" spans="1:8" s="130" customFormat="1" ht="52.9" customHeight="1" x14ac:dyDescent="0.2">
      <c r="A534" s="251" t="s">
        <v>487</v>
      </c>
      <c r="B534" s="8" t="s">
        <v>211</v>
      </c>
      <c r="C534" s="8" t="s">
        <v>111</v>
      </c>
      <c r="D534" s="8" t="s">
        <v>58</v>
      </c>
      <c r="E534" s="8" t="s">
        <v>222</v>
      </c>
      <c r="F534" s="131">
        <f>F535</f>
        <v>19361.962680000001</v>
      </c>
      <c r="G534" s="131">
        <f>G535</f>
        <v>15687.2</v>
      </c>
      <c r="H534" s="131">
        <f>H535</f>
        <v>15687.2</v>
      </c>
    </row>
    <row r="535" spans="1:8" ht="25.15" customHeight="1" x14ac:dyDescent="0.2">
      <c r="A535" s="250" t="s">
        <v>116</v>
      </c>
      <c r="B535" s="127" t="s">
        <v>211</v>
      </c>
      <c r="C535" s="127" t="s">
        <v>111</v>
      </c>
      <c r="D535" s="127" t="s">
        <v>58</v>
      </c>
      <c r="E535" s="127" t="s">
        <v>714</v>
      </c>
      <c r="F535" s="357">
        <f>F536+F537</f>
        <v>19361.962680000001</v>
      </c>
      <c r="G535" s="357">
        <f>G536+G537</f>
        <v>15687.2</v>
      </c>
      <c r="H535" s="357">
        <f>H536+H537</f>
        <v>15687.2</v>
      </c>
    </row>
    <row r="536" spans="1:8" ht="51" customHeight="1" x14ac:dyDescent="0.2">
      <c r="A536" s="258" t="s">
        <v>504</v>
      </c>
      <c r="B536" s="135" t="s">
        <v>211</v>
      </c>
      <c r="C536" s="135" t="s">
        <v>111</v>
      </c>
      <c r="D536" s="135" t="s">
        <v>488</v>
      </c>
      <c r="E536" s="135" t="s">
        <v>165</v>
      </c>
      <c r="F536" s="148">
        <f>'5'!D185</f>
        <v>13226.900000000001</v>
      </c>
      <c r="G536" s="148">
        <f>'5'!E185</f>
        <v>11174.7</v>
      </c>
      <c r="H536" s="148">
        <f>'5'!F185</f>
        <v>11174.7</v>
      </c>
    </row>
    <row r="537" spans="1:8" ht="54" customHeight="1" x14ac:dyDescent="0.2">
      <c r="A537" s="258" t="s">
        <v>818</v>
      </c>
      <c r="B537" s="135" t="s">
        <v>211</v>
      </c>
      <c r="C537" s="135" t="s">
        <v>111</v>
      </c>
      <c r="D537" s="135" t="s">
        <v>489</v>
      </c>
      <c r="E537" s="135" t="s">
        <v>165</v>
      </c>
      <c r="F537" s="148">
        <f>'5'!D187</f>
        <v>6135.06268</v>
      </c>
      <c r="G537" s="148">
        <f>'5'!E187</f>
        <v>4512.5</v>
      </c>
      <c r="H537" s="148">
        <f>'5'!F187</f>
        <v>4512.5</v>
      </c>
    </row>
    <row r="538" spans="1:8" ht="57" hidden="1" customHeight="1" x14ac:dyDescent="0.2">
      <c r="A538" s="258" t="s">
        <v>449</v>
      </c>
      <c r="B538" s="135" t="s">
        <v>211</v>
      </c>
      <c r="C538" s="135" t="s">
        <v>111</v>
      </c>
      <c r="D538" s="135" t="s">
        <v>634</v>
      </c>
      <c r="E538" s="135" t="s">
        <v>714</v>
      </c>
      <c r="F538" s="148">
        <f>F539</f>
        <v>0</v>
      </c>
      <c r="G538" s="148">
        <f>G539</f>
        <v>0</v>
      </c>
      <c r="H538" s="148">
        <f>H539</f>
        <v>0</v>
      </c>
    </row>
    <row r="539" spans="1:8" ht="58.5" hidden="1" customHeight="1" x14ac:dyDescent="0.2">
      <c r="A539" s="250" t="s">
        <v>633</v>
      </c>
      <c r="B539" s="127" t="s">
        <v>211</v>
      </c>
      <c r="C539" s="127" t="s">
        <v>111</v>
      </c>
      <c r="D539" s="127" t="s">
        <v>634</v>
      </c>
      <c r="E539" s="127" t="s">
        <v>165</v>
      </c>
      <c r="F539" s="283">
        <v>0</v>
      </c>
      <c r="G539" s="128">
        <v>0</v>
      </c>
      <c r="H539" s="128">
        <v>0</v>
      </c>
    </row>
    <row r="540" spans="1:8" ht="34.5" hidden="1" customHeight="1" x14ac:dyDescent="0.2">
      <c r="A540" s="258"/>
      <c r="B540" s="135"/>
      <c r="C540" s="135"/>
      <c r="D540" s="135"/>
      <c r="E540" s="135"/>
      <c r="F540" s="148"/>
      <c r="G540" s="136"/>
      <c r="H540" s="136"/>
    </row>
    <row r="541" spans="1:8" ht="86.25" customHeight="1" x14ac:dyDescent="0.2">
      <c r="A541" s="258" t="s">
        <v>337</v>
      </c>
      <c r="B541" s="135" t="s">
        <v>211</v>
      </c>
      <c r="C541" s="135" t="s">
        <v>111</v>
      </c>
      <c r="D541" s="135" t="s">
        <v>666</v>
      </c>
      <c r="E541" s="135" t="s">
        <v>222</v>
      </c>
      <c r="F541" s="148">
        <f>F542+F544</f>
        <v>1010.10101</v>
      </c>
      <c r="G541" s="136">
        <f>G542+G544</f>
        <v>1010.10101</v>
      </c>
      <c r="H541" s="136">
        <f>H542+H544</f>
        <v>1010.10101</v>
      </c>
    </row>
    <row r="542" spans="1:8" ht="99.75" customHeight="1" x14ac:dyDescent="0.2">
      <c r="A542" s="250" t="s">
        <v>819</v>
      </c>
      <c r="B542" s="127" t="s">
        <v>211</v>
      </c>
      <c r="C542" s="127" t="s">
        <v>111</v>
      </c>
      <c r="D542" s="127" t="s">
        <v>392</v>
      </c>
      <c r="E542" s="127" t="s">
        <v>222</v>
      </c>
      <c r="F542" s="128">
        <f>F543</f>
        <v>1000</v>
      </c>
      <c r="G542" s="128">
        <f>G543</f>
        <v>1000</v>
      </c>
      <c r="H542" s="128">
        <f>H543</f>
        <v>1000</v>
      </c>
    </row>
    <row r="543" spans="1:8" ht="23.25" customHeight="1" x14ac:dyDescent="0.2">
      <c r="A543" s="250" t="s">
        <v>124</v>
      </c>
      <c r="B543" s="127" t="s">
        <v>211</v>
      </c>
      <c r="C543" s="127" t="s">
        <v>111</v>
      </c>
      <c r="D543" s="127" t="s">
        <v>392</v>
      </c>
      <c r="E543" s="127" t="s">
        <v>714</v>
      </c>
      <c r="F543" s="128">
        <v>1000</v>
      </c>
      <c r="G543" s="128">
        <v>1000</v>
      </c>
      <c r="H543" s="128">
        <v>1000</v>
      </c>
    </row>
    <row r="544" spans="1:8" ht="133.5" customHeight="1" x14ac:dyDescent="0.2">
      <c r="A544" s="250" t="s">
        <v>820</v>
      </c>
      <c r="B544" s="127" t="s">
        <v>211</v>
      </c>
      <c r="C544" s="127" t="s">
        <v>111</v>
      </c>
      <c r="D544" s="133" t="s">
        <v>607</v>
      </c>
      <c r="E544" s="127" t="s">
        <v>714</v>
      </c>
      <c r="F544" s="128">
        <f>F545</f>
        <v>10.10101</v>
      </c>
      <c r="G544" s="128">
        <f>G545</f>
        <v>10.10101</v>
      </c>
      <c r="H544" s="128">
        <f>H545</f>
        <v>10.10101</v>
      </c>
    </row>
    <row r="545" spans="1:8" ht="26.25" customHeight="1" x14ac:dyDescent="0.2">
      <c r="A545" s="250" t="s">
        <v>124</v>
      </c>
      <c r="B545" s="127" t="s">
        <v>211</v>
      </c>
      <c r="C545" s="127" t="s">
        <v>111</v>
      </c>
      <c r="D545" s="133" t="s">
        <v>607</v>
      </c>
      <c r="E545" s="127" t="s">
        <v>165</v>
      </c>
      <c r="F545" s="128">
        <f>'5'!D179</f>
        <v>10.10101</v>
      </c>
      <c r="G545" s="128">
        <f>'5'!E179</f>
        <v>10.10101</v>
      </c>
      <c r="H545" s="128">
        <f>'5'!F179</f>
        <v>10.10101</v>
      </c>
    </row>
    <row r="546" spans="1:8" s="130" customFormat="1" ht="48.75" hidden="1" customHeight="1" x14ac:dyDescent="0.2">
      <c r="A546" s="256" t="s">
        <v>484</v>
      </c>
      <c r="B546" s="8" t="s">
        <v>211</v>
      </c>
      <c r="C546" s="8" t="s">
        <v>111</v>
      </c>
      <c r="D546" s="147" t="s">
        <v>627</v>
      </c>
      <c r="E546" s="147" t="s">
        <v>222</v>
      </c>
      <c r="F546" s="131">
        <f t="shared" ref="F546:H547" si="123">F547</f>
        <v>0</v>
      </c>
      <c r="G546" s="131">
        <f t="shared" si="123"/>
        <v>0</v>
      </c>
      <c r="H546" s="131">
        <f t="shared" si="123"/>
        <v>0</v>
      </c>
    </row>
    <row r="547" spans="1:8" ht="26.25" hidden="1" customHeight="1" x14ac:dyDescent="0.2">
      <c r="A547" s="250" t="s">
        <v>821</v>
      </c>
      <c r="B547" s="127" t="s">
        <v>211</v>
      </c>
      <c r="C547" s="127" t="s">
        <v>111</v>
      </c>
      <c r="D547" s="133" t="s">
        <v>627</v>
      </c>
      <c r="E547" s="133" t="s">
        <v>714</v>
      </c>
      <c r="F547" s="357">
        <f t="shared" si="123"/>
        <v>0</v>
      </c>
      <c r="G547" s="357">
        <f t="shared" si="123"/>
        <v>0</v>
      </c>
      <c r="H547" s="357">
        <f t="shared" si="123"/>
        <v>0</v>
      </c>
    </row>
    <row r="548" spans="1:8" ht="26.25" hidden="1" customHeight="1" x14ac:dyDescent="0.2">
      <c r="A548" s="250" t="s">
        <v>822</v>
      </c>
      <c r="B548" s="127" t="s">
        <v>211</v>
      </c>
      <c r="C548" s="127" t="s">
        <v>111</v>
      </c>
      <c r="D548" s="133" t="s">
        <v>627</v>
      </c>
      <c r="E548" s="133" t="s">
        <v>165</v>
      </c>
      <c r="F548" s="357">
        <v>0</v>
      </c>
      <c r="G548" s="128">
        <v>0</v>
      </c>
      <c r="H548" s="128">
        <v>0</v>
      </c>
    </row>
    <row r="549" spans="1:8" ht="26.25" hidden="1" customHeight="1" x14ac:dyDescent="0.2">
      <c r="A549" s="258" t="s">
        <v>794</v>
      </c>
      <c r="B549" s="127" t="s">
        <v>211</v>
      </c>
      <c r="C549" s="127" t="s">
        <v>111</v>
      </c>
      <c r="D549" s="127" t="s">
        <v>823</v>
      </c>
      <c r="E549" s="135" t="s">
        <v>222</v>
      </c>
      <c r="F549" s="136">
        <f>F550</f>
        <v>0</v>
      </c>
      <c r="G549" s="136">
        <f t="shared" ref="G549:H551" si="124">G550</f>
        <v>0</v>
      </c>
      <c r="H549" s="136">
        <f t="shared" si="124"/>
        <v>0</v>
      </c>
    </row>
    <row r="550" spans="1:8" ht="26.25" hidden="1" customHeight="1" x14ac:dyDescent="0.2">
      <c r="A550" s="250" t="s">
        <v>824</v>
      </c>
      <c r="B550" s="127" t="s">
        <v>211</v>
      </c>
      <c r="C550" s="127" t="s">
        <v>111</v>
      </c>
      <c r="D550" s="127" t="s">
        <v>825</v>
      </c>
      <c r="E550" s="127" t="s">
        <v>222</v>
      </c>
      <c r="F550" s="128">
        <f>F551</f>
        <v>0</v>
      </c>
      <c r="G550" s="128">
        <f t="shared" si="124"/>
        <v>0</v>
      </c>
      <c r="H550" s="128">
        <f t="shared" si="124"/>
        <v>0</v>
      </c>
    </row>
    <row r="551" spans="1:8" ht="47.25" hidden="1" customHeight="1" x14ac:dyDescent="0.2">
      <c r="A551" s="250" t="s">
        <v>715</v>
      </c>
      <c r="B551" s="127" t="s">
        <v>211</v>
      </c>
      <c r="C551" s="127" t="s">
        <v>111</v>
      </c>
      <c r="D551" s="127" t="s">
        <v>826</v>
      </c>
      <c r="E551" s="127" t="s">
        <v>714</v>
      </c>
      <c r="F551" s="128">
        <f>F552</f>
        <v>0</v>
      </c>
      <c r="G551" s="128">
        <f t="shared" si="124"/>
        <v>0</v>
      </c>
      <c r="H551" s="128">
        <f t="shared" si="124"/>
        <v>0</v>
      </c>
    </row>
    <row r="552" spans="1:8" ht="21" hidden="1" customHeight="1" x14ac:dyDescent="0.2">
      <c r="A552" s="250" t="s">
        <v>124</v>
      </c>
      <c r="B552" s="127" t="s">
        <v>211</v>
      </c>
      <c r="C552" s="127" t="s">
        <v>111</v>
      </c>
      <c r="D552" s="127" t="s">
        <v>827</v>
      </c>
      <c r="E552" s="127" t="s">
        <v>165</v>
      </c>
      <c r="F552" s="128"/>
      <c r="G552" s="128"/>
      <c r="H552" s="128"/>
    </row>
    <row r="553" spans="1:8" ht="12.75" hidden="1" customHeight="1" x14ac:dyDescent="0.2">
      <c r="A553" s="250"/>
      <c r="B553" s="127"/>
      <c r="C553" s="127"/>
      <c r="D553" s="127"/>
      <c r="E553" s="127"/>
      <c r="F553" s="128"/>
      <c r="G553" s="128"/>
      <c r="H553" s="128"/>
    </row>
    <row r="554" spans="1:8" ht="50.45" hidden="1" customHeight="1" x14ac:dyDescent="0.2">
      <c r="A554" s="251" t="s">
        <v>828</v>
      </c>
      <c r="B554" s="8" t="s">
        <v>211</v>
      </c>
      <c r="C554" s="8" t="s">
        <v>111</v>
      </c>
      <c r="D554" s="8" t="s">
        <v>470</v>
      </c>
      <c r="E554" s="8" t="s">
        <v>222</v>
      </c>
      <c r="F554" s="129">
        <f t="shared" ref="F554:H555" si="125">F555</f>
        <v>0</v>
      </c>
      <c r="G554" s="129">
        <f t="shared" si="125"/>
        <v>0</v>
      </c>
      <c r="H554" s="129">
        <f t="shared" si="125"/>
        <v>0</v>
      </c>
    </row>
    <row r="555" spans="1:8" ht="49.9" hidden="1" customHeight="1" x14ac:dyDescent="0.2">
      <c r="A555" s="250" t="s">
        <v>715</v>
      </c>
      <c r="B555" s="127" t="s">
        <v>211</v>
      </c>
      <c r="C555" s="127" t="s">
        <v>111</v>
      </c>
      <c r="D555" s="127" t="s">
        <v>470</v>
      </c>
      <c r="E555" s="127" t="s">
        <v>714</v>
      </c>
      <c r="F555" s="128">
        <f t="shared" si="125"/>
        <v>0</v>
      </c>
      <c r="G555" s="128">
        <f t="shared" si="125"/>
        <v>0</v>
      </c>
      <c r="H555" s="128">
        <f t="shared" si="125"/>
        <v>0</v>
      </c>
    </row>
    <row r="556" spans="1:8" ht="19.149999999999999" hidden="1" customHeight="1" x14ac:dyDescent="0.2">
      <c r="A556" s="250" t="s">
        <v>124</v>
      </c>
      <c r="B556" s="127" t="s">
        <v>211</v>
      </c>
      <c r="C556" s="127" t="s">
        <v>111</v>
      </c>
      <c r="D556" s="127" t="s">
        <v>470</v>
      </c>
      <c r="E556" s="127" t="s">
        <v>165</v>
      </c>
      <c r="F556" s="128"/>
      <c r="G556" s="128"/>
      <c r="H556" s="128"/>
    </row>
    <row r="557" spans="1:8" s="130" customFormat="1" ht="52.5" customHeight="1" x14ac:dyDescent="0.2">
      <c r="A557" s="249" t="s">
        <v>812</v>
      </c>
      <c r="B557" s="122" t="s">
        <v>211</v>
      </c>
      <c r="C557" s="122" t="s">
        <v>685</v>
      </c>
      <c r="D557" s="122" t="s">
        <v>22</v>
      </c>
      <c r="E557" s="122" t="s">
        <v>222</v>
      </c>
      <c r="F557" s="123">
        <f>F558+F562</f>
        <v>255.8</v>
      </c>
      <c r="G557" s="123">
        <f t="shared" ref="G557:H557" si="126">G558+G562</f>
        <v>138</v>
      </c>
      <c r="H557" s="123">
        <f t="shared" si="126"/>
        <v>138</v>
      </c>
    </row>
    <row r="558" spans="1:8" ht="38.25" customHeight="1" x14ac:dyDescent="0.2">
      <c r="A558" s="259" t="s">
        <v>829</v>
      </c>
      <c r="B558" s="127" t="s">
        <v>211</v>
      </c>
      <c r="C558" s="127" t="s">
        <v>685</v>
      </c>
      <c r="D558" s="127" t="s">
        <v>48</v>
      </c>
      <c r="E558" s="127" t="s">
        <v>222</v>
      </c>
      <c r="F558" s="128">
        <f t="shared" ref="F558:H560" si="127">F559</f>
        <v>150</v>
      </c>
      <c r="G558" s="128">
        <f t="shared" si="127"/>
        <v>50</v>
      </c>
      <c r="H558" s="128">
        <f t="shared" si="127"/>
        <v>50</v>
      </c>
    </row>
    <row r="559" spans="1:8" ht="36.75" customHeight="1" x14ac:dyDescent="0.2">
      <c r="A559" s="250" t="s">
        <v>830</v>
      </c>
      <c r="B559" s="127" t="s">
        <v>211</v>
      </c>
      <c r="C559" s="127" t="s">
        <v>685</v>
      </c>
      <c r="D559" s="127" t="s">
        <v>49</v>
      </c>
      <c r="E559" s="127" t="s">
        <v>222</v>
      </c>
      <c r="F559" s="128">
        <f>F560</f>
        <v>150</v>
      </c>
      <c r="G559" s="128">
        <f t="shared" si="127"/>
        <v>50</v>
      </c>
      <c r="H559" s="128">
        <f t="shared" si="127"/>
        <v>50</v>
      </c>
    </row>
    <row r="560" spans="1:8" ht="49.5" customHeight="1" x14ac:dyDescent="0.2">
      <c r="A560" s="250" t="s">
        <v>715</v>
      </c>
      <c r="B560" s="127" t="s">
        <v>211</v>
      </c>
      <c r="C560" s="127" t="s">
        <v>685</v>
      </c>
      <c r="D560" s="127" t="s">
        <v>49</v>
      </c>
      <c r="E560" s="127" t="s">
        <v>714</v>
      </c>
      <c r="F560" s="128">
        <f>F561</f>
        <v>150</v>
      </c>
      <c r="G560" s="128">
        <f t="shared" si="127"/>
        <v>50</v>
      </c>
      <c r="H560" s="128">
        <f t="shared" si="127"/>
        <v>50</v>
      </c>
    </row>
    <row r="561" spans="1:8" ht="20.25" customHeight="1" x14ac:dyDescent="0.2">
      <c r="A561" s="250" t="s">
        <v>124</v>
      </c>
      <c r="B561" s="127" t="s">
        <v>211</v>
      </c>
      <c r="C561" s="127" t="s">
        <v>685</v>
      </c>
      <c r="D561" s="127" t="s">
        <v>49</v>
      </c>
      <c r="E561" s="127" t="s">
        <v>165</v>
      </c>
      <c r="F561" s="357">
        <f>'5'!D89</f>
        <v>150</v>
      </c>
      <c r="G561" s="357">
        <f>'5'!E89</f>
        <v>50</v>
      </c>
      <c r="H561" s="357">
        <f>'5'!F89</f>
        <v>50</v>
      </c>
    </row>
    <row r="562" spans="1:8" ht="57" customHeight="1" x14ac:dyDescent="0.2">
      <c r="A562" s="250" t="s">
        <v>1020</v>
      </c>
      <c r="B562" s="127" t="s">
        <v>211</v>
      </c>
      <c r="C562" s="127" t="s">
        <v>685</v>
      </c>
      <c r="D562" s="127" t="s">
        <v>1017</v>
      </c>
      <c r="E562" s="127" t="s">
        <v>222</v>
      </c>
      <c r="F562" s="357">
        <f>F563</f>
        <v>105.80000000000001</v>
      </c>
      <c r="G562" s="357">
        <f t="shared" ref="G562:H563" si="128">G563</f>
        <v>88</v>
      </c>
      <c r="H562" s="357">
        <f t="shared" si="128"/>
        <v>88</v>
      </c>
    </row>
    <row r="563" spans="1:8" ht="33" customHeight="1" x14ac:dyDescent="0.2">
      <c r="A563" s="250" t="s">
        <v>676</v>
      </c>
      <c r="B563" s="127" t="s">
        <v>211</v>
      </c>
      <c r="C563" s="127" t="s">
        <v>685</v>
      </c>
      <c r="D563" s="127" t="s">
        <v>1017</v>
      </c>
      <c r="E563" s="127" t="s">
        <v>677</v>
      </c>
      <c r="F563" s="357">
        <f>F564</f>
        <v>105.80000000000001</v>
      </c>
      <c r="G563" s="357">
        <f t="shared" si="128"/>
        <v>88</v>
      </c>
      <c r="H563" s="357">
        <f t="shared" si="128"/>
        <v>88</v>
      </c>
    </row>
    <row r="564" spans="1:8" ht="48.75" customHeight="1" x14ac:dyDescent="0.2">
      <c r="A564" s="250" t="s">
        <v>678</v>
      </c>
      <c r="B564" s="127" t="s">
        <v>211</v>
      </c>
      <c r="C564" s="127" t="s">
        <v>685</v>
      </c>
      <c r="D564" s="127" t="s">
        <v>1017</v>
      </c>
      <c r="E564" s="127" t="s">
        <v>679</v>
      </c>
      <c r="F564" s="357">
        <f>'5'!D266</f>
        <v>105.80000000000001</v>
      </c>
      <c r="G564" s="357">
        <f>'5'!E266</f>
        <v>88</v>
      </c>
      <c r="H564" s="357">
        <f>'5'!F266</f>
        <v>88</v>
      </c>
    </row>
    <row r="565" spans="1:8" ht="51.75" hidden="1" customHeight="1" x14ac:dyDescent="0.2">
      <c r="A565" s="250"/>
      <c r="B565" s="127"/>
      <c r="C565" s="127"/>
      <c r="D565" s="127"/>
      <c r="E565" s="127"/>
      <c r="F565" s="357"/>
      <c r="G565" s="357"/>
      <c r="H565" s="357"/>
    </row>
    <row r="566" spans="1:8" ht="20.25" hidden="1" customHeight="1" x14ac:dyDescent="0.2">
      <c r="A566" s="250"/>
      <c r="B566" s="127"/>
      <c r="C566" s="127"/>
      <c r="D566" s="127"/>
      <c r="E566" s="127"/>
      <c r="F566" s="357"/>
      <c r="G566" s="357"/>
      <c r="H566" s="357"/>
    </row>
    <row r="567" spans="1:8" ht="20.25" hidden="1" customHeight="1" x14ac:dyDescent="0.2">
      <c r="A567" s="250"/>
      <c r="B567" s="127"/>
      <c r="C567" s="127"/>
      <c r="D567" s="127"/>
      <c r="E567" s="127"/>
      <c r="F567" s="357"/>
      <c r="G567" s="357"/>
      <c r="H567" s="357"/>
    </row>
    <row r="568" spans="1:8" ht="20.25" hidden="1" customHeight="1" x14ac:dyDescent="0.2">
      <c r="A568" s="250"/>
      <c r="B568" s="127"/>
      <c r="C568" s="127"/>
      <c r="D568" s="127"/>
      <c r="E568" s="127"/>
      <c r="F568" s="357"/>
      <c r="G568" s="357"/>
      <c r="H568" s="357"/>
    </row>
    <row r="569" spans="1:8" ht="20.25" hidden="1" customHeight="1" x14ac:dyDescent="0.2">
      <c r="A569" s="250"/>
      <c r="B569" s="127"/>
      <c r="C569" s="127"/>
      <c r="D569" s="127"/>
      <c r="E569" s="127"/>
      <c r="F569" s="357"/>
      <c r="G569" s="357"/>
      <c r="H569" s="357"/>
    </row>
    <row r="570" spans="1:8" ht="20.25" hidden="1" customHeight="1" x14ac:dyDescent="0.2">
      <c r="A570" s="250"/>
      <c r="B570" s="127"/>
      <c r="C570" s="127"/>
      <c r="D570" s="127"/>
      <c r="E570" s="127"/>
      <c r="F570" s="357"/>
      <c r="G570" s="357"/>
      <c r="H570" s="357"/>
    </row>
    <row r="571" spans="1:8" ht="20.25" hidden="1" customHeight="1" x14ac:dyDescent="0.2">
      <c r="A571" s="250"/>
      <c r="B571" s="127"/>
      <c r="C571" s="127"/>
      <c r="D571" s="127"/>
      <c r="E571" s="127"/>
      <c r="F571" s="357"/>
      <c r="G571" s="357"/>
      <c r="H571" s="357"/>
    </row>
    <row r="572" spans="1:8" ht="20.25" hidden="1" customHeight="1" x14ac:dyDescent="0.2">
      <c r="A572" s="250"/>
      <c r="B572" s="127"/>
      <c r="C572" s="127"/>
      <c r="D572" s="127"/>
      <c r="E572" s="127"/>
      <c r="F572" s="357"/>
      <c r="G572" s="357"/>
      <c r="H572" s="357"/>
    </row>
    <row r="573" spans="1:8" ht="20.25" hidden="1" customHeight="1" x14ac:dyDescent="0.2">
      <c r="A573" s="250"/>
      <c r="B573" s="127"/>
      <c r="C573" s="127"/>
      <c r="D573" s="127"/>
      <c r="E573" s="127"/>
      <c r="F573" s="357"/>
      <c r="G573" s="357"/>
      <c r="H573" s="357"/>
    </row>
    <row r="574" spans="1:8" ht="20.25" hidden="1" customHeight="1" x14ac:dyDescent="0.2">
      <c r="A574" s="267" t="s">
        <v>831</v>
      </c>
      <c r="B574" s="159" t="s">
        <v>211</v>
      </c>
      <c r="C574" s="159" t="s">
        <v>211</v>
      </c>
      <c r="D574" s="159" t="s">
        <v>666</v>
      </c>
      <c r="E574" s="159" t="s">
        <v>222</v>
      </c>
      <c r="F574" s="160">
        <f t="shared" ref="F574:H576" si="129">F575</f>
        <v>0</v>
      </c>
      <c r="G574" s="160">
        <f t="shared" si="129"/>
        <v>0</v>
      </c>
      <c r="H574" s="160">
        <f t="shared" si="129"/>
        <v>0</v>
      </c>
    </row>
    <row r="575" spans="1:8" ht="50.1" hidden="1" customHeight="1" x14ac:dyDescent="0.2">
      <c r="A575" s="267" t="s">
        <v>254</v>
      </c>
      <c r="B575" s="159" t="s">
        <v>211</v>
      </c>
      <c r="C575" s="159" t="s">
        <v>211</v>
      </c>
      <c r="D575" s="159" t="s">
        <v>22</v>
      </c>
      <c r="E575" s="159" t="s">
        <v>222</v>
      </c>
      <c r="F575" s="144">
        <f t="shared" si="129"/>
        <v>0</v>
      </c>
      <c r="G575" s="144">
        <f t="shared" si="129"/>
        <v>0</v>
      </c>
      <c r="H575" s="144">
        <f t="shared" si="129"/>
        <v>0</v>
      </c>
    </row>
    <row r="576" spans="1:8" ht="33.75" hidden="1" customHeight="1" x14ac:dyDescent="0.2">
      <c r="A576" s="268" t="s">
        <v>249</v>
      </c>
      <c r="B576" s="161" t="s">
        <v>211</v>
      </c>
      <c r="C576" s="161" t="s">
        <v>211</v>
      </c>
      <c r="D576" s="161" t="s">
        <v>50</v>
      </c>
      <c r="E576" s="161" t="s">
        <v>222</v>
      </c>
      <c r="F576" s="144">
        <f t="shared" si="129"/>
        <v>0</v>
      </c>
      <c r="G576" s="144">
        <f t="shared" si="129"/>
        <v>0</v>
      </c>
      <c r="H576" s="144">
        <f t="shared" si="129"/>
        <v>0</v>
      </c>
    </row>
    <row r="577" spans="1:8" s="130" customFormat="1" ht="65.25" hidden="1" customHeight="1" x14ac:dyDescent="0.2">
      <c r="A577" s="267" t="s">
        <v>395</v>
      </c>
      <c r="B577" s="159" t="s">
        <v>211</v>
      </c>
      <c r="C577" s="159" t="s">
        <v>211</v>
      </c>
      <c r="D577" s="159" t="s">
        <v>50</v>
      </c>
      <c r="E577" s="159" t="s">
        <v>222</v>
      </c>
      <c r="F577" s="160">
        <f>F578+F579</f>
        <v>0</v>
      </c>
      <c r="G577" s="160">
        <f>G578+G579</f>
        <v>0</v>
      </c>
      <c r="H577" s="160">
        <f>H578+H579</f>
        <v>0</v>
      </c>
    </row>
    <row r="578" spans="1:8" ht="33" hidden="1" customHeight="1" x14ac:dyDescent="0.2">
      <c r="A578" s="269" t="s">
        <v>832</v>
      </c>
      <c r="B578" s="161" t="s">
        <v>211</v>
      </c>
      <c r="C578" s="161" t="s">
        <v>211</v>
      </c>
      <c r="D578" s="161" t="s">
        <v>51</v>
      </c>
      <c r="E578" s="161" t="s">
        <v>833</v>
      </c>
      <c r="F578" s="144">
        <f>F579</f>
        <v>0</v>
      </c>
      <c r="G578" s="144">
        <f>G579</f>
        <v>0</v>
      </c>
      <c r="H578" s="144">
        <f>H579</f>
        <v>0</v>
      </c>
    </row>
    <row r="579" spans="1:8" ht="33" hidden="1" customHeight="1" x14ac:dyDescent="0.2">
      <c r="A579" s="269" t="s">
        <v>120</v>
      </c>
      <c r="B579" s="161" t="s">
        <v>211</v>
      </c>
      <c r="C579" s="161" t="s">
        <v>211</v>
      </c>
      <c r="D579" s="161" t="s">
        <v>51</v>
      </c>
      <c r="E579" s="161" t="s">
        <v>121</v>
      </c>
      <c r="F579" s="144"/>
      <c r="G579" s="144"/>
      <c r="H579" s="144"/>
    </row>
    <row r="580" spans="1:8" ht="48.75" hidden="1" customHeight="1" x14ac:dyDescent="0.2">
      <c r="A580" s="269" t="s">
        <v>715</v>
      </c>
      <c r="B580" s="161" t="s">
        <v>211</v>
      </c>
      <c r="C580" s="161" t="s">
        <v>211</v>
      </c>
      <c r="D580" s="161" t="s">
        <v>51</v>
      </c>
      <c r="E580" s="161" t="s">
        <v>714</v>
      </c>
      <c r="F580" s="144">
        <f>F581</f>
        <v>0</v>
      </c>
      <c r="G580" s="144">
        <f>G581</f>
        <v>0</v>
      </c>
      <c r="H580" s="144">
        <f>H581</f>
        <v>0</v>
      </c>
    </row>
    <row r="581" spans="1:8" ht="18" hidden="1" customHeight="1" x14ac:dyDescent="0.2">
      <c r="A581" s="269" t="s">
        <v>124</v>
      </c>
      <c r="B581" s="161" t="s">
        <v>211</v>
      </c>
      <c r="C581" s="161" t="s">
        <v>211</v>
      </c>
      <c r="D581" s="161" t="s">
        <v>51</v>
      </c>
      <c r="E581" s="161" t="s">
        <v>165</v>
      </c>
      <c r="F581" s="144"/>
      <c r="G581" s="144"/>
      <c r="H581" s="144"/>
    </row>
    <row r="582" spans="1:8" ht="51" hidden="1" customHeight="1" x14ac:dyDescent="0.2">
      <c r="A582" s="258" t="s">
        <v>369</v>
      </c>
      <c r="B582" s="127" t="s">
        <v>211</v>
      </c>
      <c r="C582" s="127" t="s">
        <v>211</v>
      </c>
      <c r="D582" s="135" t="s">
        <v>666</v>
      </c>
      <c r="E582" s="135" t="s">
        <v>222</v>
      </c>
      <c r="F582" s="136">
        <f>F583</f>
        <v>0</v>
      </c>
      <c r="G582" s="136">
        <f t="shared" ref="G582:H584" si="130">G583</f>
        <v>0</v>
      </c>
      <c r="H582" s="136">
        <f t="shared" si="130"/>
        <v>0</v>
      </c>
    </row>
    <row r="583" spans="1:8" ht="82.9" hidden="1" customHeight="1" x14ac:dyDescent="0.2">
      <c r="A583" s="250" t="s">
        <v>834</v>
      </c>
      <c r="B583" s="127" t="s">
        <v>211</v>
      </c>
      <c r="C583" s="127" t="s">
        <v>211</v>
      </c>
      <c r="D583" s="127" t="s">
        <v>835</v>
      </c>
      <c r="E583" s="127" t="s">
        <v>222</v>
      </c>
      <c r="F583" s="128">
        <f>F584</f>
        <v>0</v>
      </c>
      <c r="G583" s="128">
        <f t="shared" si="130"/>
        <v>0</v>
      </c>
      <c r="H583" s="128">
        <f t="shared" si="130"/>
        <v>0</v>
      </c>
    </row>
    <row r="584" spans="1:8" ht="45.6" hidden="1" customHeight="1" x14ac:dyDescent="0.2">
      <c r="A584" s="250" t="s">
        <v>715</v>
      </c>
      <c r="B584" s="127" t="s">
        <v>211</v>
      </c>
      <c r="C584" s="127" t="s">
        <v>211</v>
      </c>
      <c r="D584" s="127" t="s">
        <v>835</v>
      </c>
      <c r="E584" s="127" t="s">
        <v>714</v>
      </c>
      <c r="F584" s="128">
        <f>F585</f>
        <v>0</v>
      </c>
      <c r="G584" s="128">
        <f t="shared" si="130"/>
        <v>0</v>
      </c>
      <c r="H584" s="128">
        <f t="shared" si="130"/>
        <v>0</v>
      </c>
    </row>
    <row r="585" spans="1:8" ht="23.25" hidden="1" customHeight="1" x14ac:dyDescent="0.2">
      <c r="A585" s="250" t="s">
        <v>124</v>
      </c>
      <c r="B585" s="127" t="s">
        <v>211</v>
      </c>
      <c r="C585" s="127" t="s">
        <v>211</v>
      </c>
      <c r="D585" s="127" t="s">
        <v>835</v>
      </c>
      <c r="E585" s="127" t="s">
        <v>165</v>
      </c>
      <c r="F585" s="128"/>
      <c r="G585" s="128"/>
      <c r="H585" s="128"/>
    </row>
    <row r="586" spans="1:8" ht="94.15" hidden="1" customHeight="1" x14ac:dyDescent="0.2">
      <c r="A586" s="250" t="s">
        <v>836</v>
      </c>
      <c r="B586" s="127" t="s">
        <v>211</v>
      </c>
      <c r="C586" s="127" t="s">
        <v>211</v>
      </c>
      <c r="D586" s="127" t="s">
        <v>1022</v>
      </c>
      <c r="E586" s="127" t="s">
        <v>222</v>
      </c>
      <c r="F586" s="128">
        <f t="shared" ref="F586:H587" si="131">F587</f>
        <v>0</v>
      </c>
      <c r="G586" s="128">
        <f t="shared" si="131"/>
        <v>0</v>
      </c>
      <c r="H586" s="128">
        <f t="shared" si="131"/>
        <v>0</v>
      </c>
    </row>
    <row r="587" spans="1:8" ht="48" hidden="1" customHeight="1" x14ac:dyDescent="0.2">
      <c r="A587" s="250" t="s">
        <v>715</v>
      </c>
      <c r="B587" s="127" t="s">
        <v>211</v>
      </c>
      <c r="C587" s="127" t="s">
        <v>211</v>
      </c>
      <c r="D587" s="127" t="s">
        <v>1021</v>
      </c>
      <c r="E587" s="127" t="s">
        <v>714</v>
      </c>
      <c r="F587" s="128">
        <f t="shared" si="131"/>
        <v>0</v>
      </c>
      <c r="G587" s="128">
        <f t="shared" si="131"/>
        <v>0</v>
      </c>
      <c r="H587" s="128">
        <f t="shared" si="131"/>
        <v>0</v>
      </c>
    </row>
    <row r="588" spans="1:8" ht="23.25" hidden="1" customHeight="1" x14ac:dyDescent="0.2">
      <c r="A588" s="250" t="s">
        <v>124</v>
      </c>
      <c r="B588" s="127" t="s">
        <v>211</v>
      </c>
      <c r="C588" s="127" t="s">
        <v>211</v>
      </c>
      <c r="D588" s="127" t="s">
        <v>1021</v>
      </c>
      <c r="E588" s="127" t="s">
        <v>165</v>
      </c>
      <c r="F588" s="128"/>
      <c r="G588" s="128"/>
      <c r="H588" s="128"/>
    </row>
    <row r="589" spans="1:8" ht="66" hidden="1" customHeight="1" x14ac:dyDescent="0.2">
      <c r="A589" s="250" t="s">
        <v>456</v>
      </c>
      <c r="B589" s="127" t="s">
        <v>211</v>
      </c>
      <c r="C589" s="127" t="s">
        <v>211</v>
      </c>
      <c r="D589" s="127" t="s">
        <v>455</v>
      </c>
      <c r="E589" s="127" t="s">
        <v>222</v>
      </c>
      <c r="F589" s="128">
        <f t="shared" ref="F589:H590" si="132">F590</f>
        <v>0</v>
      </c>
      <c r="G589" s="128">
        <f t="shared" si="132"/>
        <v>0</v>
      </c>
      <c r="H589" s="128">
        <f t="shared" si="132"/>
        <v>0</v>
      </c>
    </row>
    <row r="590" spans="1:8" ht="23.25" hidden="1" customHeight="1" x14ac:dyDescent="0.2">
      <c r="A590" s="250" t="s">
        <v>715</v>
      </c>
      <c r="B590" s="127" t="s">
        <v>211</v>
      </c>
      <c r="C590" s="127" t="s">
        <v>211</v>
      </c>
      <c r="D590" s="127" t="s">
        <v>455</v>
      </c>
      <c r="E590" s="127" t="s">
        <v>714</v>
      </c>
      <c r="F590" s="128">
        <f t="shared" si="132"/>
        <v>0</v>
      </c>
      <c r="G590" s="128">
        <f t="shared" si="132"/>
        <v>0</v>
      </c>
      <c r="H590" s="128">
        <f t="shared" si="132"/>
        <v>0</v>
      </c>
    </row>
    <row r="591" spans="1:8" ht="23.25" hidden="1" customHeight="1" x14ac:dyDescent="0.2">
      <c r="A591" s="250" t="s">
        <v>124</v>
      </c>
      <c r="B591" s="127" t="s">
        <v>211</v>
      </c>
      <c r="C591" s="127" t="s">
        <v>211</v>
      </c>
      <c r="D591" s="127" t="s">
        <v>455</v>
      </c>
      <c r="E591" s="127" t="s">
        <v>165</v>
      </c>
      <c r="F591" s="128"/>
      <c r="G591" s="128"/>
      <c r="H591" s="128"/>
    </row>
    <row r="592" spans="1:8" s="130" customFormat="1" ht="22.5" customHeight="1" x14ac:dyDescent="0.2">
      <c r="A592" s="249" t="s">
        <v>838</v>
      </c>
      <c r="B592" s="122" t="s">
        <v>211</v>
      </c>
      <c r="C592" s="122" t="s">
        <v>747</v>
      </c>
      <c r="D592" s="122" t="s">
        <v>666</v>
      </c>
      <c r="E592" s="122" t="s">
        <v>222</v>
      </c>
      <c r="F592" s="123">
        <f>F593+F624+F632+F638+F650+F643+F647</f>
        <v>69282.069739999992</v>
      </c>
      <c r="G592" s="123">
        <f>G593+G624+G632+G638+G650+G643+G647</f>
        <v>61567.064180000001</v>
      </c>
      <c r="H592" s="123">
        <f>H593+H624+H632+H638+H650+H643+H647</f>
        <v>57456.5</v>
      </c>
    </row>
    <row r="593" spans="1:8" s="130" customFormat="1" ht="52.5" customHeight="1" x14ac:dyDescent="0.2">
      <c r="A593" s="256" t="s">
        <v>812</v>
      </c>
      <c r="B593" s="133" t="s">
        <v>211</v>
      </c>
      <c r="C593" s="133" t="s">
        <v>747</v>
      </c>
      <c r="D593" s="147" t="s">
        <v>22</v>
      </c>
      <c r="E593" s="147" t="s">
        <v>222</v>
      </c>
      <c r="F593" s="357">
        <f>F601+F607+F621+F594</f>
        <v>66378.650739999997</v>
      </c>
      <c r="G593" s="357">
        <f t="shared" ref="G593:H593" si="133">G601+G607+G621+G594</f>
        <v>58937.064180000001</v>
      </c>
      <c r="H593" s="357">
        <f t="shared" si="133"/>
        <v>54796.5</v>
      </c>
    </row>
    <row r="594" spans="1:8" s="130" customFormat="1" ht="153" customHeight="1" x14ac:dyDescent="0.2">
      <c r="A594" s="270" t="s">
        <v>1032</v>
      </c>
      <c r="B594" s="147" t="s">
        <v>211</v>
      </c>
      <c r="C594" s="147" t="s">
        <v>747</v>
      </c>
      <c r="D594" s="147" t="s">
        <v>42</v>
      </c>
      <c r="E594" s="147" t="s">
        <v>222</v>
      </c>
      <c r="F594" s="131">
        <f>F595+F598</f>
        <v>0</v>
      </c>
      <c r="G594" s="131">
        <f t="shared" ref="G594:H594" si="134">G595+G598</f>
        <v>4190.5641800000003</v>
      </c>
      <c r="H594" s="131">
        <f t="shared" si="134"/>
        <v>0</v>
      </c>
    </row>
    <row r="595" spans="1:8" s="130" customFormat="1" ht="147.75" customHeight="1" x14ac:dyDescent="0.2">
      <c r="A595" s="250" t="s">
        <v>1033</v>
      </c>
      <c r="B595" s="133" t="s">
        <v>211</v>
      </c>
      <c r="C595" s="133" t="s">
        <v>747</v>
      </c>
      <c r="D595" s="153" t="s">
        <v>1031</v>
      </c>
      <c r="E595" s="147" t="s">
        <v>222</v>
      </c>
      <c r="F595" s="357">
        <f>F596</f>
        <v>0</v>
      </c>
      <c r="G595" s="357">
        <f t="shared" ref="G595:H596" si="135">G596</f>
        <v>4148.6585400000004</v>
      </c>
      <c r="H595" s="357">
        <f t="shared" si="135"/>
        <v>0</v>
      </c>
    </row>
    <row r="596" spans="1:8" s="130" customFormat="1" ht="53.25" customHeight="1" x14ac:dyDescent="0.2">
      <c r="A596" s="257" t="s">
        <v>715</v>
      </c>
      <c r="B596" s="133" t="s">
        <v>211</v>
      </c>
      <c r="C596" s="133" t="s">
        <v>747</v>
      </c>
      <c r="D596" s="153" t="s">
        <v>1031</v>
      </c>
      <c r="E596" s="147" t="s">
        <v>714</v>
      </c>
      <c r="F596" s="357">
        <f>F597</f>
        <v>0</v>
      </c>
      <c r="G596" s="357">
        <f t="shared" si="135"/>
        <v>4148.6585400000004</v>
      </c>
      <c r="H596" s="357">
        <f t="shared" si="135"/>
        <v>0</v>
      </c>
    </row>
    <row r="597" spans="1:8" s="130" customFormat="1" ht="24.75" customHeight="1" x14ac:dyDescent="0.2">
      <c r="A597" s="257" t="s">
        <v>124</v>
      </c>
      <c r="B597" s="133" t="s">
        <v>211</v>
      </c>
      <c r="C597" s="133" t="s">
        <v>747</v>
      </c>
      <c r="D597" s="153" t="s">
        <v>1031</v>
      </c>
      <c r="E597" s="147" t="s">
        <v>165</v>
      </c>
      <c r="F597" s="357">
        <f>'5'!D86</f>
        <v>0</v>
      </c>
      <c r="G597" s="357">
        <f>'5'!E86</f>
        <v>4148.6585400000004</v>
      </c>
      <c r="H597" s="357">
        <f>'5'!F86</f>
        <v>0</v>
      </c>
    </row>
    <row r="598" spans="1:8" s="130" customFormat="1" ht="153" customHeight="1" x14ac:dyDescent="0.2">
      <c r="A598" s="284" t="s">
        <v>1034</v>
      </c>
      <c r="B598" s="133" t="s">
        <v>211</v>
      </c>
      <c r="C598" s="133" t="s">
        <v>747</v>
      </c>
      <c r="D598" s="147" t="s">
        <v>1035</v>
      </c>
      <c r="E598" s="147" t="s">
        <v>222</v>
      </c>
      <c r="F598" s="357">
        <f>F599</f>
        <v>0</v>
      </c>
      <c r="G598" s="357">
        <f t="shared" ref="G598:H599" si="136">G599</f>
        <v>41.905639999999998</v>
      </c>
      <c r="H598" s="357">
        <f t="shared" si="136"/>
        <v>0</v>
      </c>
    </row>
    <row r="599" spans="1:8" s="130" customFormat="1" ht="51.75" customHeight="1" x14ac:dyDescent="0.2">
      <c r="A599" s="257" t="s">
        <v>715</v>
      </c>
      <c r="B599" s="133" t="s">
        <v>211</v>
      </c>
      <c r="C599" s="133" t="s">
        <v>747</v>
      </c>
      <c r="D599" s="147" t="s">
        <v>1035</v>
      </c>
      <c r="E599" s="147" t="s">
        <v>714</v>
      </c>
      <c r="F599" s="357">
        <f>F600</f>
        <v>0</v>
      </c>
      <c r="G599" s="357">
        <f t="shared" si="136"/>
        <v>41.905639999999998</v>
      </c>
      <c r="H599" s="357">
        <f t="shared" si="136"/>
        <v>0</v>
      </c>
    </row>
    <row r="600" spans="1:8" s="130" customFormat="1" ht="21" customHeight="1" x14ac:dyDescent="0.2">
      <c r="A600" s="257" t="s">
        <v>124</v>
      </c>
      <c r="B600" s="133" t="s">
        <v>211</v>
      </c>
      <c r="C600" s="133" t="s">
        <v>747</v>
      </c>
      <c r="D600" s="147" t="s">
        <v>1035</v>
      </c>
      <c r="E600" s="147" t="s">
        <v>165</v>
      </c>
      <c r="F600" s="357">
        <f>'5'!D87</f>
        <v>0</v>
      </c>
      <c r="G600" s="357">
        <f>'5'!E87</f>
        <v>41.905639999999998</v>
      </c>
      <c r="H600" s="357">
        <f>'5'!F87</f>
        <v>0</v>
      </c>
    </row>
    <row r="601" spans="1:8" s="130" customFormat="1" ht="43.5" customHeight="1" x14ac:dyDescent="0.2">
      <c r="A601" s="272" t="s">
        <v>249</v>
      </c>
      <c r="B601" s="133" t="s">
        <v>211</v>
      </c>
      <c r="C601" s="133" t="s">
        <v>747</v>
      </c>
      <c r="D601" s="133" t="s">
        <v>50</v>
      </c>
      <c r="E601" s="133" t="s">
        <v>222</v>
      </c>
      <c r="F601" s="357">
        <f>F602</f>
        <v>3323.6412</v>
      </c>
      <c r="G601" s="357">
        <f>G602</f>
        <v>5812.8</v>
      </c>
      <c r="H601" s="357">
        <f>H602</f>
        <v>5812.8</v>
      </c>
    </row>
    <row r="602" spans="1:8" s="130" customFormat="1" ht="90" customHeight="1" x14ac:dyDescent="0.2">
      <c r="A602" s="256" t="s">
        <v>395</v>
      </c>
      <c r="B602" s="133" t="s">
        <v>211</v>
      </c>
      <c r="C602" s="133" t="s">
        <v>747</v>
      </c>
      <c r="D602" s="147" t="s">
        <v>50</v>
      </c>
      <c r="E602" s="147" t="s">
        <v>222</v>
      </c>
      <c r="F602" s="131">
        <f>F603+F605</f>
        <v>3323.6412</v>
      </c>
      <c r="G602" s="131">
        <f>G603+G605</f>
        <v>5812.8</v>
      </c>
      <c r="H602" s="131">
        <f>H603+H605</f>
        <v>5812.8</v>
      </c>
    </row>
    <row r="603" spans="1:8" s="130" customFormat="1" ht="44.25" hidden="1" customHeight="1" x14ac:dyDescent="0.2">
      <c r="A603" s="257" t="s">
        <v>832</v>
      </c>
      <c r="B603" s="133" t="s">
        <v>211</v>
      </c>
      <c r="C603" s="133" t="s">
        <v>747</v>
      </c>
      <c r="D603" s="133" t="s">
        <v>51</v>
      </c>
      <c r="E603" s="133" t="s">
        <v>833</v>
      </c>
      <c r="F603" s="357">
        <f>F604</f>
        <v>0</v>
      </c>
      <c r="G603" s="357">
        <f>G604</f>
        <v>0</v>
      </c>
      <c r="H603" s="357">
        <f>H604</f>
        <v>0</v>
      </c>
    </row>
    <row r="604" spans="1:8" s="130" customFormat="1" ht="30.75" hidden="1" customHeight="1" x14ac:dyDescent="0.2">
      <c r="A604" s="257" t="s">
        <v>120</v>
      </c>
      <c r="B604" s="133" t="s">
        <v>211</v>
      </c>
      <c r="C604" s="133" t="s">
        <v>747</v>
      </c>
      <c r="D604" s="133" t="s">
        <v>51</v>
      </c>
      <c r="E604" s="133" t="s">
        <v>121</v>
      </c>
      <c r="F604" s="357"/>
      <c r="G604" s="357"/>
      <c r="H604" s="357"/>
    </row>
    <row r="605" spans="1:8" s="130" customFormat="1" ht="52.5" customHeight="1" x14ac:dyDescent="0.2">
      <c r="A605" s="257" t="s">
        <v>715</v>
      </c>
      <c r="B605" s="133" t="s">
        <v>211</v>
      </c>
      <c r="C605" s="133" t="s">
        <v>747</v>
      </c>
      <c r="D605" s="133" t="s">
        <v>51</v>
      </c>
      <c r="E605" s="133" t="s">
        <v>714</v>
      </c>
      <c r="F605" s="357">
        <f>F606</f>
        <v>3323.6412</v>
      </c>
      <c r="G605" s="357">
        <f>G606</f>
        <v>5812.8</v>
      </c>
      <c r="H605" s="357">
        <f>H606</f>
        <v>5812.8</v>
      </c>
    </row>
    <row r="606" spans="1:8" s="130" customFormat="1" ht="23.25" customHeight="1" x14ac:dyDescent="0.2">
      <c r="A606" s="257" t="s">
        <v>124</v>
      </c>
      <c r="B606" s="133" t="s">
        <v>211</v>
      </c>
      <c r="C606" s="133" t="s">
        <v>747</v>
      </c>
      <c r="D606" s="133" t="s">
        <v>51</v>
      </c>
      <c r="E606" s="133" t="s">
        <v>165</v>
      </c>
      <c r="F606" s="357">
        <f>'5'!D91-300+0.27</f>
        <v>3323.6412</v>
      </c>
      <c r="G606" s="357">
        <f>'5'!E91-300</f>
        <v>5812.8</v>
      </c>
      <c r="H606" s="357">
        <f>'5'!F91-300</f>
        <v>5812.8</v>
      </c>
    </row>
    <row r="607" spans="1:8" ht="38.25" customHeight="1" x14ac:dyDescent="0.2">
      <c r="A607" s="259" t="s">
        <v>839</v>
      </c>
      <c r="B607" s="127" t="s">
        <v>211</v>
      </c>
      <c r="C607" s="127" t="s">
        <v>747</v>
      </c>
      <c r="D607" s="127" t="s">
        <v>52</v>
      </c>
      <c r="E607" s="127" t="s">
        <v>222</v>
      </c>
      <c r="F607" s="357">
        <f>F608+F616</f>
        <v>62944.009539999999</v>
      </c>
      <c r="G607" s="128">
        <f>G608+G616</f>
        <v>48772.7</v>
      </c>
      <c r="H607" s="128">
        <f>H608+H616</f>
        <v>48772.7</v>
      </c>
    </row>
    <row r="608" spans="1:8" ht="54" customHeight="1" x14ac:dyDescent="0.2">
      <c r="A608" s="250" t="s">
        <v>840</v>
      </c>
      <c r="B608" s="127" t="s">
        <v>211</v>
      </c>
      <c r="C608" s="127" t="s">
        <v>747</v>
      </c>
      <c r="D608" s="127" t="s">
        <v>53</v>
      </c>
      <c r="E608" s="127" t="s">
        <v>222</v>
      </c>
      <c r="F608" s="357">
        <f>F609+F611+F613</f>
        <v>62944.009539999999</v>
      </c>
      <c r="G608" s="128">
        <f>G609+G611+G613</f>
        <v>48772.7</v>
      </c>
      <c r="H608" s="128">
        <f>H609+H611+H613</f>
        <v>48772.7</v>
      </c>
    </row>
    <row r="609" spans="1:8" ht="101.25" customHeight="1" x14ac:dyDescent="0.2">
      <c r="A609" s="250" t="s">
        <v>670</v>
      </c>
      <c r="B609" s="127" t="s">
        <v>211</v>
      </c>
      <c r="C609" s="127" t="s">
        <v>747</v>
      </c>
      <c r="D609" s="127" t="s">
        <v>53</v>
      </c>
      <c r="E609" s="127" t="s">
        <v>671</v>
      </c>
      <c r="F609" s="357">
        <f>F610</f>
        <v>53785.159999999996</v>
      </c>
      <c r="G609" s="128">
        <f>G610</f>
        <v>45292.1</v>
      </c>
      <c r="H609" s="128">
        <f>H610</f>
        <v>45292.1</v>
      </c>
    </row>
    <row r="610" spans="1:8" ht="32.25" customHeight="1" x14ac:dyDescent="0.2">
      <c r="A610" s="250" t="s">
        <v>841</v>
      </c>
      <c r="B610" s="127" t="s">
        <v>211</v>
      </c>
      <c r="C610" s="127" t="s">
        <v>747</v>
      </c>
      <c r="D610" s="127" t="s">
        <v>53</v>
      </c>
      <c r="E610" s="127" t="s">
        <v>842</v>
      </c>
      <c r="F610" s="357">
        <f>34720.5+86+10485.6+3666.06+1716.5+1444.3+1666.2</f>
        <v>53785.159999999996</v>
      </c>
      <c r="G610" s="357">
        <f t="shared" ref="G610:H610" si="137">34720.5+86+10485.6</f>
        <v>45292.1</v>
      </c>
      <c r="H610" s="357">
        <f t="shared" si="137"/>
        <v>45292.1</v>
      </c>
    </row>
    <row r="611" spans="1:8" ht="33" customHeight="1" x14ac:dyDescent="0.2">
      <c r="A611" s="250" t="s">
        <v>676</v>
      </c>
      <c r="B611" s="127" t="s">
        <v>211</v>
      </c>
      <c r="C611" s="127" t="s">
        <v>747</v>
      </c>
      <c r="D611" s="127" t="s">
        <v>53</v>
      </c>
      <c r="E611" s="127" t="s">
        <v>677</v>
      </c>
      <c r="F611" s="357">
        <f>F612</f>
        <v>9128.8495400000011</v>
      </c>
      <c r="G611" s="357">
        <f>G612</f>
        <v>3450.6</v>
      </c>
      <c r="H611" s="357">
        <f>H612</f>
        <v>3450.6</v>
      </c>
    </row>
    <row r="612" spans="1:8" ht="48.75" customHeight="1" x14ac:dyDescent="0.2">
      <c r="A612" s="250" t="s">
        <v>678</v>
      </c>
      <c r="B612" s="127" t="s">
        <v>211</v>
      </c>
      <c r="C612" s="127" t="s">
        <v>747</v>
      </c>
      <c r="D612" s="127" t="s">
        <v>53</v>
      </c>
      <c r="E612" s="127" t="s">
        <v>679</v>
      </c>
      <c r="F612" s="357">
        <f>3450.6+129.6+199+50+2000+137.5+46+100+2216.77754+73+38+18.6+220+45+75.6+170.172+45.9+83.1+30</f>
        <v>9128.8495400000011</v>
      </c>
      <c r="G612" s="357">
        <v>3450.6</v>
      </c>
      <c r="H612" s="357">
        <v>3450.6</v>
      </c>
    </row>
    <row r="613" spans="1:8" ht="19.5" customHeight="1" x14ac:dyDescent="0.2">
      <c r="A613" s="250" t="s">
        <v>680</v>
      </c>
      <c r="B613" s="127" t="s">
        <v>211</v>
      </c>
      <c r="C613" s="127" t="s">
        <v>747</v>
      </c>
      <c r="D613" s="127" t="s">
        <v>53</v>
      </c>
      <c r="E613" s="127" t="s">
        <v>681</v>
      </c>
      <c r="F613" s="357">
        <f>F614+F615</f>
        <v>30</v>
      </c>
      <c r="G613" s="357">
        <f>G614+G615</f>
        <v>30</v>
      </c>
      <c r="H613" s="357">
        <f>H614+H615</f>
        <v>30</v>
      </c>
    </row>
    <row r="614" spans="1:8" ht="19.5" hidden="1" customHeight="1" x14ac:dyDescent="0.2">
      <c r="A614" s="250" t="s">
        <v>720</v>
      </c>
      <c r="B614" s="127" t="s">
        <v>211</v>
      </c>
      <c r="C614" s="127" t="s">
        <v>747</v>
      </c>
      <c r="D614" s="127" t="s">
        <v>53</v>
      </c>
      <c r="E614" s="127" t="s">
        <v>721</v>
      </c>
      <c r="F614" s="357"/>
      <c r="G614" s="357"/>
      <c r="H614" s="357"/>
    </row>
    <row r="615" spans="1:8" ht="19.5" customHeight="1" x14ac:dyDescent="0.2">
      <c r="A615" s="250" t="s">
        <v>682</v>
      </c>
      <c r="B615" s="127" t="s">
        <v>211</v>
      </c>
      <c r="C615" s="127" t="s">
        <v>747</v>
      </c>
      <c r="D615" s="127" t="s">
        <v>53</v>
      </c>
      <c r="E615" s="127" t="s">
        <v>683</v>
      </c>
      <c r="F615" s="357">
        <v>30</v>
      </c>
      <c r="G615" s="357">
        <v>30</v>
      </c>
      <c r="H615" s="357">
        <v>30</v>
      </c>
    </row>
    <row r="616" spans="1:8" ht="61.9" hidden="1" customHeight="1" x14ac:dyDescent="0.2">
      <c r="A616" s="272" t="s">
        <v>587</v>
      </c>
      <c r="B616" s="133" t="s">
        <v>211</v>
      </c>
      <c r="C616" s="133" t="s">
        <v>747</v>
      </c>
      <c r="D616" s="133" t="s">
        <v>53</v>
      </c>
      <c r="E616" s="133" t="s">
        <v>222</v>
      </c>
      <c r="F616" s="357">
        <f>F617+F619</f>
        <v>0</v>
      </c>
      <c r="G616" s="357">
        <f>G617+G619</f>
        <v>0</v>
      </c>
      <c r="H616" s="357">
        <f>H617+H619</f>
        <v>0</v>
      </c>
    </row>
    <row r="617" spans="1:8" ht="94.15" hidden="1" customHeight="1" x14ac:dyDescent="0.2">
      <c r="A617" s="257" t="s">
        <v>670</v>
      </c>
      <c r="B617" s="133" t="s">
        <v>211</v>
      </c>
      <c r="C617" s="133" t="s">
        <v>747</v>
      </c>
      <c r="D617" s="133" t="s">
        <v>53</v>
      </c>
      <c r="E617" s="133" t="s">
        <v>671</v>
      </c>
      <c r="F617" s="357">
        <f>F618</f>
        <v>0</v>
      </c>
      <c r="G617" s="357">
        <f>G618</f>
        <v>0</v>
      </c>
      <c r="H617" s="357">
        <f>H618</f>
        <v>0</v>
      </c>
    </row>
    <row r="618" spans="1:8" ht="33" hidden="1" customHeight="1" x14ac:dyDescent="0.2">
      <c r="A618" s="257" t="s">
        <v>841</v>
      </c>
      <c r="B618" s="133" t="s">
        <v>211</v>
      </c>
      <c r="C618" s="133" t="s">
        <v>747</v>
      </c>
      <c r="D618" s="133" t="s">
        <v>53</v>
      </c>
      <c r="E618" s="133" t="s">
        <v>842</v>
      </c>
      <c r="F618" s="357">
        <f>'5'!D95</f>
        <v>0</v>
      </c>
      <c r="G618" s="357">
        <f>'5'!E95</f>
        <v>0</v>
      </c>
      <c r="H618" s="357">
        <f>'5'!F95</f>
        <v>0</v>
      </c>
    </row>
    <row r="619" spans="1:8" ht="34.15" hidden="1" customHeight="1" x14ac:dyDescent="0.2">
      <c r="A619" s="250" t="s">
        <v>676</v>
      </c>
      <c r="B619" s="127" t="s">
        <v>211</v>
      </c>
      <c r="C619" s="127" t="s">
        <v>747</v>
      </c>
      <c r="D619" s="127" t="s">
        <v>53</v>
      </c>
      <c r="E619" s="127" t="s">
        <v>677</v>
      </c>
      <c r="F619" s="357">
        <f>F620</f>
        <v>0</v>
      </c>
      <c r="G619" s="357">
        <f>G620</f>
        <v>0</v>
      </c>
      <c r="H619" s="357">
        <f>H620</f>
        <v>0</v>
      </c>
    </row>
    <row r="620" spans="1:8" ht="47.25" hidden="1" customHeight="1" x14ac:dyDescent="0.2">
      <c r="A620" s="250" t="s">
        <v>678</v>
      </c>
      <c r="B620" s="127" t="s">
        <v>211</v>
      </c>
      <c r="C620" s="127" t="s">
        <v>747</v>
      </c>
      <c r="D620" s="127" t="s">
        <v>53</v>
      </c>
      <c r="E620" s="127" t="s">
        <v>679</v>
      </c>
      <c r="F620" s="357">
        <v>0</v>
      </c>
      <c r="G620" s="357">
        <v>0</v>
      </c>
      <c r="H620" s="357">
        <v>0</v>
      </c>
    </row>
    <row r="621" spans="1:8" ht="33.75" customHeight="1" x14ac:dyDescent="0.2">
      <c r="A621" s="259" t="s">
        <v>725</v>
      </c>
      <c r="B621" s="127" t="s">
        <v>211</v>
      </c>
      <c r="C621" s="127" t="s">
        <v>747</v>
      </c>
      <c r="D621" s="141" t="s">
        <v>23</v>
      </c>
      <c r="E621" s="127" t="s">
        <v>222</v>
      </c>
      <c r="F621" s="357">
        <f t="shared" ref="F621:H622" si="138">F622</f>
        <v>111</v>
      </c>
      <c r="G621" s="357">
        <f t="shared" si="138"/>
        <v>161</v>
      </c>
      <c r="H621" s="357">
        <f t="shared" si="138"/>
        <v>211</v>
      </c>
    </row>
    <row r="622" spans="1:8" ht="33" customHeight="1" x14ac:dyDescent="0.2">
      <c r="A622" s="250" t="s">
        <v>676</v>
      </c>
      <c r="B622" s="127" t="s">
        <v>211</v>
      </c>
      <c r="C622" s="127" t="s">
        <v>747</v>
      </c>
      <c r="D622" s="141" t="s">
        <v>24</v>
      </c>
      <c r="E622" s="127" t="s">
        <v>677</v>
      </c>
      <c r="F622" s="357">
        <f t="shared" si="138"/>
        <v>111</v>
      </c>
      <c r="G622" s="357">
        <f t="shared" si="138"/>
        <v>161</v>
      </c>
      <c r="H622" s="357">
        <f t="shared" si="138"/>
        <v>211</v>
      </c>
    </row>
    <row r="623" spans="1:8" ht="51" customHeight="1" x14ac:dyDescent="0.2">
      <c r="A623" s="250" t="s">
        <v>678</v>
      </c>
      <c r="B623" s="127" t="s">
        <v>211</v>
      </c>
      <c r="C623" s="127" t="s">
        <v>747</v>
      </c>
      <c r="D623" s="141" t="s">
        <v>24</v>
      </c>
      <c r="E623" s="127" t="s">
        <v>679</v>
      </c>
      <c r="F623" s="357">
        <f>'5'!D97</f>
        <v>111</v>
      </c>
      <c r="G623" s="357">
        <f>'5'!E97</f>
        <v>161</v>
      </c>
      <c r="H623" s="357">
        <f>'5'!F97</f>
        <v>211</v>
      </c>
    </row>
    <row r="624" spans="1:8" s="130" customFormat="1" ht="68.25" customHeight="1" x14ac:dyDescent="0.2">
      <c r="A624" s="251" t="s">
        <v>558</v>
      </c>
      <c r="B624" s="8" t="s">
        <v>211</v>
      </c>
      <c r="C624" s="8" t="s">
        <v>747</v>
      </c>
      <c r="D624" s="8" t="s">
        <v>54</v>
      </c>
      <c r="E624" s="8" t="s">
        <v>222</v>
      </c>
      <c r="F624" s="131">
        <f>F625+F629</f>
        <v>1465</v>
      </c>
      <c r="G624" s="131">
        <f>G625+G629</f>
        <v>1048</v>
      </c>
      <c r="H624" s="131">
        <f>H625+H629</f>
        <v>1078</v>
      </c>
    </row>
    <row r="625" spans="1:8" ht="18" customHeight="1" x14ac:dyDescent="0.2">
      <c r="A625" s="250" t="s">
        <v>215</v>
      </c>
      <c r="B625" s="127" t="s">
        <v>211</v>
      </c>
      <c r="C625" s="127" t="s">
        <v>747</v>
      </c>
      <c r="D625" s="127" t="s">
        <v>843</v>
      </c>
      <c r="E625" s="127" t="s">
        <v>222</v>
      </c>
      <c r="F625" s="357">
        <f>F626+F628</f>
        <v>600</v>
      </c>
      <c r="G625" s="357">
        <f t="shared" ref="G625:H625" si="139">G626+G628</f>
        <v>758</v>
      </c>
      <c r="H625" s="357">
        <f t="shared" si="139"/>
        <v>778</v>
      </c>
    </row>
    <row r="626" spans="1:8" ht="37.5" customHeight="1" x14ac:dyDescent="0.2">
      <c r="A626" s="250" t="s">
        <v>676</v>
      </c>
      <c r="B626" s="127" t="s">
        <v>211</v>
      </c>
      <c r="C626" s="127" t="s">
        <v>747</v>
      </c>
      <c r="D626" s="127" t="s">
        <v>55</v>
      </c>
      <c r="E626" s="127" t="s">
        <v>677</v>
      </c>
      <c r="F626" s="357">
        <f t="shared" ref="F626:H626" si="140">F627</f>
        <v>3</v>
      </c>
      <c r="G626" s="357">
        <f t="shared" si="140"/>
        <v>236</v>
      </c>
      <c r="H626" s="357">
        <f t="shared" si="140"/>
        <v>256</v>
      </c>
    </row>
    <row r="627" spans="1:8" ht="50.25" customHeight="1" x14ac:dyDescent="0.2">
      <c r="A627" s="250" t="s">
        <v>678</v>
      </c>
      <c r="B627" s="133" t="s">
        <v>211</v>
      </c>
      <c r="C627" s="133" t="s">
        <v>747</v>
      </c>
      <c r="D627" s="133" t="s">
        <v>55</v>
      </c>
      <c r="E627" s="133" t="s">
        <v>679</v>
      </c>
      <c r="F627" s="357">
        <f>'5'!D109-522-75</f>
        <v>3</v>
      </c>
      <c r="G627" s="357">
        <f>'5'!E109-522</f>
        <v>236</v>
      </c>
      <c r="H627" s="357">
        <f>'5'!F109-522</f>
        <v>256</v>
      </c>
    </row>
    <row r="628" spans="1:8" ht="22.5" customHeight="1" x14ac:dyDescent="0.2">
      <c r="A628" s="250" t="s">
        <v>1080</v>
      </c>
      <c r="B628" s="133" t="s">
        <v>211</v>
      </c>
      <c r="C628" s="133" t="s">
        <v>747</v>
      </c>
      <c r="D628" s="133" t="s">
        <v>55</v>
      </c>
      <c r="E628" s="133" t="s">
        <v>842</v>
      </c>
      <c r="F628" s="357">
        <f>522+75</f>
        <v>597</v>
      </c>
      <c r="G628" s="357">
        <v>522</v>
      </c>
      <c r="H628" s="357">
        <v>522</v>
      </c>
    </row>
    <row r="629" spans="1:8" ht="33" customHeight="1" x14ac:dyDescent="0.2">
      <c r="A629" s="250" t="s">
        <v>806</v>
      </c>
      <c r="B629" s="127" t="s">
        <v>211</v>
      </c>
      <c r="C629" s="127" t="s">
        <v>747</v>
      </c>
      <c r="D629" s="127" t="s">
        <v>56</v>
      </c>
      <c r="E629" s="127" t="s">
        <v>222</v>
      </c>
      <c r="F629" s="357">
        <f t="shared" ref="F629:H630" si="141">F630</f>
        <v>865</v>
      </c>
      <c r="G629" s="357">
        <f t="shared" si="141"/>
        <v>290</v>
      </c>
      <c r="H629" s="357">
        <f t="shared" si="141"/>
        <v>300</v>
      </c>
    </row>
    <row r="630" spans="1:8" ht="49.5" customHeight="1" x14ac:dyDescent="0.2">
      <c r="A630" s="250" t="s">
        <v>715</v>
      </c>
      <c r="B630" s="127" t="s">
        <v>211</v>
      </c>
      <c r="C630" s="127" t="s">
        <v>747</v>
      </c>
      <c r="D630" s="127" t="s">
        <v>56</v>
      </c>
      <c r="E630" s="127" t="s">
        <v>714</v>
      </c>
      <c r="F630" s="357">
        <f t="shared" si="141"/>
        <v>865</v>
      </c>
      <c r="G630" s="357">
        <f t="shared" si="141"/>
        <v>290</v>
      </c>
      <c r="H630" s="357">
        <f t="shared" si="141"/>
        <v>300</v>
      </c>
    </row>
    <row r="631" spans="1:8" ht="19.5" customHeight="1" x14ac:dyDescent="0.2">
      <c r="A631" s="250" t="s">
        <v>124</v>
      </c>
      <c r="B631" s="127" t="s">
        <v>211</v>
      </c>
      <c r="C631" s="127" t="s">
        <v>747</v>
      </c>
      <c r="D631" s="127" t="s">
        <v>56</v>
      </c>
      <c r="E631" s="127" t="s">
        <v>165</v>
      </c>
      <c r="F631" s="357">
        <f>'5'!D110</f>
        <v>865</v>
      </c>
      <c r="G631" s="357">
        <f>'5'!E110</f>
        <v>290</v>
      </c>
      <c r="H631" s="357">
        <f>'5'!F110</f>
        <v>300</v>
      </c>
    </row>
    <row r="632" spans="1:8" s="130" customFormat="1" ht="83.25" customHeight="1" x14ac:dyDescent="0.2">
      <c r="A632" s="256" t="s">
        <v>596</v>
      </c>
      <c r="B632" s="147" t="s">
        <v>211</v>
      </c>
      <c r="C632" s="147" t="s">
        <v>747</v>
      </c>
      <c r="D632" s="147" t="s">
        <v>26</v>
      </c>
      <c r="E632" s="147" t="s">
        <v>222</v>
      </c>
      <c r="F632" s="131">
        <f>F633</f>
        <v>660</v>
      </c>
      <c r="G632" s="131">
        <f>G633</f>
        <v>1032</v>
      </c>
      <c r="H632" s="131">
        <f>H633</f>
        <v>1032</v>
      </c>
    </row>
    <row r="633" spans="1:8" ht="21.75" customHeight="1" x14ac:dyDescent="0.2">
      <c r="A633" s="257" t="s">
        <v>215</v>
      </c>
      <c r="B633" s="133" t="s">
        <v>211</v>
      </c>
      <c r="C633" s="133" t="s">
        <v>747</v>
      </c>
      <c r="D633" s="133" t="s">
        <v>735</v>
      </c>
      <c r="E633" s="133" t="s">
        <v>222</v>
      </c>
      <c r="F633" s="357">
        <f>F634+F636</f>
        <v>660</v>
      </c>
      <c r="G633" s="357">
        <f>G634+G636</f>
        <v>1032</v>
      </c>
      <c r="H633" s="357">
        <f>H634+H636</f>
        <v>1032</v>
      </c>
    </row>
    <row r="634" spans="1:8" ht="33.75" customHeight="1" x14ac:dyDescent="0.2">
      <c r="A634" s="257" t="s">
        <v>676</v>
      </c>
      <c r="B634" s="133" t="s">
        <v>211</v>
      </c>
      <c r="C634" s="133" t="s">
        <v>747</v>
      </c>
      <c r="D634" s="133" t="s">
        <v>57</v>
      </c>
      <c r="E634" s="133" t="s">
        <v>677</v>
      </c>
      <c r="F634" s="357">
        <f>F635</f>
        <v>3</v>
      </c>
      <c r="G634" s="357">
        <f>G635</f>
        <v>4</v>
      </c>
      <c r="H634" s="357">
        <f>H635</f>
        <v>4</v>
      </c>
    </row>
    <row r="635" spans="1:8" ht="48.75" customHeight="1" x14ac:dyDescent="0.2">
      <c r="A635" s="257" t="s">
        <v>678</v>
      </c>
      <c r="B635" s="133" t="s">
        <v>211</v>
      </c>
      <c r="C635" s="133" t="s">
        <v>747</v>
      </c>
      <c r="D635" s="133" t="s">
        <v>57</v>
      </c>
      <c r="E635" s="133" t="s">
        <v>679</v>
      </c>
      <c r="F635" s="357">
        <f>'5'!D116</f>
        <v>3</v>
      </c>
      <c r="G635" s="357">
        <f>'5'!E116</f>
        <v>4</v>
      </c>
      <c r="H635" s="357">
        <f>'5'!F116</f>
        <v>4</v>
      </c>
    </row>
    <row r="636" spans="1:8" ht="48.75" customHeight="1" x14ac:dyDescent="0.2">
      <c r="A636" s="257" t="s">
        <v>715</v>
      </c>
      <c r="B636" s="133" t="s">
        <v>211</v>
      </c>
      <c r="C636" s="133" t="s">
        <v>747</v>
      </c>
      <c r="D636" s="133" t="s">
        <v>57</v>
      </c>
      <c r="E636" s="133" t="s">
        <v>714</v>
      </c>
      <c r="F636" s="357">
        <f>F637</f>
        <v>657</v>
      </c>
      <c r="G636" s="357">
        <f>G637</f>
        <v>1028</v>
      </c>
      <c r="H636" s="357">
        <f>H637</f>
        <v>1028</v>
      </c>
    </row>
    <row r="637" spans="1:8" ht="20.45" customHeight="1" x14ac:dyDescent="0.2">
      <c r="A637" s="257" t="s">
        <v>124</v>
      </c>
      <c r="B637" s="133" t="s">
        <v>211</v>
      </c>
      <c r="C637" s="133" t="s">
        <v>747</v>
      </c>
      <c r="D637" s="133" t="s">
        <v>57</v>
      </c>
      <c r="E637" s="133" t="s">
        <v>165</v>
      </c>
      <c r="F637" s="357">
        <f>'5'!D117</f>
        <v>657</v>
      </c>
      <c r="G637" s="357">
        <f>'5'!E117</f>
        <v>1028</v>
      </c>
      <c r="H637" s="357">
        <f>'5'!F117</f>
        <v>1028</v>
      </c>
    </row>
    <row r="638" spans="1:8" ht="100.5" customHeight="1" x14ac:dyDescent="0.2">
      <c r="A638" s="251" t="s">
        <v>779</v>
      </c>
      <c r="B638" s="8" t="s">
        <v>211</v>
      </c>
      <c r="C638" s="8" t="s">
        <v>747</v>
      </c>
      <c r="D638" s="8" t="s">
        <v>284</v>
      </c>
      <c r="E638" s="8" t="s">
        <v>222</v>
      </c>
      <c r="F638" s="129">
        <f>F639+F641</f>
        <v>738.4190000000001</v>
      </c>
      <c r="G638" s="129">
        <f>G639+G641</f>
        <v>550</v>
      </c>
      <c r="H638" s="129">
        <f>H639+H641</f>
        <v>550</v>
      </c>
    </row>
    <row r="639" spans="1:8" ht="39.6" customHeight="1" x14ac:dyDescent="0.2">
      <c r="A639" s="250" t="s">
        <v>676</v>
      </c>
      <c r="B639" s="127" t="s">
        <v>211</v>
      </c>
      <c r="C639" s="127" t="s">
        <v>747</v>
      </c>
      <c r="D639" s="127" t="s">
        <v>454</v>
      </c>
      <c r="E639" s="127" t="s">
        <v>677</v>
      </c>
      <c r="F639" s="128">
        <f>F640</f>
        <v>10</v>
      </c>
      <c r="G639" s="128">
        <f>G640</f>
        <v>0</v>
      </c>
      <c r="H639" s="128">
        <f>H640</f>
        <v>0</v>
      </c>
    </row>
    <row r="640" spans="1:8" ht="53.45" customHeight="1" x14ac:dyDescent="0.2">
      <c r="A640" s="250" t="s">
        <v>678</v>
      </c>
      <c r="B640" s="127" t="s">
        <v>211</v>
      </c>
      <c r="C640" s="127" t="s">
        <v>747</v>
      </c>
      <c r="D640" s="127" t="s">
        <v>454</v>
      </c>
      <c r="E640" s="127" t="s">
        <v>679</v>
      </c>
      <c r="F640" s="128">
        <f>'5'!D214</f>
        <v>10</v>
      </c>
      <c r="G640" s="128">
        <f>'5'!E214</f>
        <v>0</v>
      </c>
      <c r="H640" s="128">
        <f>'5'!F214</f>
        <v>0</v>
      </c>
    </row>
    <row r="641" spans="1:8" ht="46.9" customHeight="1" x14ac:dyDescent="0.2">
      <c r="A641" s="250" t="s">
        <v>715</v>
      </c>
      <c r="B641" s="127" t="s">
        <v>211</v>
      </c>
      <c r="C641" s="127" t="s">
        <v>747</v>
      </c>
      <c r="D641" s="127" t="s">
        <v>285</v>
      </c>
      <c r="E641" s="127" t="s">
        <v>714</v>
      </c>
      <c r="F641" s="128">
        <f>F642</f>
        <v>728.4190000000001</v>
      </c>
      <c r="G641" s="128">
        <f>G642</f>
        <v>550</v>
      </c>
      <c r="H641" s="128">
        <f>H642</f>
        <v>550</v>
      </c>
    </row>
    <row r="642" spans="1:8" ht="18" customHeight="1" x14ac:dyDescent="0.2">
      <c r="A642" s="250" t="s">
        <v>124</v>
      </c>
      <c r="B642" s="127" t="s">
        <v>211</v>
      </c>
      <c r="C642" s="127" t="s">
        <v>747</v>
      </c>
      <c r="D642" s="127" t="s">
        <v>285</v>
      </c>
      <c r="E642" s="127" t="s">
        <v>165</v>
      </c>
      <c r="F642" s="128">
        <f>'5'!D211</f>
        <v>728.4190000000001</v>
      </c>
      <c r="G642" s="128">
        <f>'5'!E211</f>
        <v>550</v>
      </c>
      <c r="H642" s="128">
        <f>'5'!F211</f>
        <v>550</v>
      </c>
    </row>
    <row r="643" spans="1:8" ht="51" hidden="1" customHeight="1" x14ac:dyDescent="0.2">
      <c r="A643" s="251" t="s">
        <v>736</v>
      </c>
      <c r="B643" s="127" t="s">
        <v>211</v>
      </c>
      <c r="C643" s="127" t="s">
        <v>747</v>
      </c>
      <c r="D643" s="8" t="s">
        <v>28</v>
      </c>
      <c r="E643" s="8" t="s">
        <v>222</v>
      </c>
      <c r="F643" s="129">
        <f>F644</f>
        <v>0</v>
      </c>
      <c r="G643" s="129">
        <f>G644</f>
        <v>0</v>
      </c>
      <c r="H643" s="129">
        <f>H644</f>
        <v>0</v>
      </c>
    </row>
    <row r="644" spans="1:8" ht="36.75" hidden="1" customHeight="1" x14ac:dyDescent="0.2">
      <c r="A644" s="250" t="s">
        <v>676</v>
      </c>
      <c r="B644" s="127" t="s">
        <v>211</v>
      </c>
      <c r="C644" s="127" t="s">
        <v>747</v>
      </c>
      <c r="D644" s="127" t="s">
        <v>737</v>
      </c>
      <c r="E644" s="127" t="s">
        <v>677</v>
      </c>
      <c r="F644" s="128">
        <f>F645+F646</f>
        <v>0</v>
      </c>
      <c r="G644" s="128">
        <f>G645+G646</f>
        <v>0</v>
      </c>
      <c r="H644" s="128">
        <f>H645+H646</f>
        <v>0</v>
      </c>
    </row>
    <row r="645" spans="1:8" ht="64.5" hidden="1" customHeight="1" x14ac:dyDescent="0.2">
      <c r="A645" s="250" t="s">
        <v>844</v>
      </c>
      <c r="B645" s="127" t="s">
        <v>211</v>
      </c>
      <c r="C645" s="127" t="s">
        <v>747</v>
      </c>
      <c r="D645" s="127" t="s">
        <v>287</v>
      </c>
      <c r="E645" s="127" t="s">
        <v>679</v>
      </c>
      <c r="F645" s="128"/>
      <c r="G645" s="128"/>
      <c r="H645" s="128"/>
    </row>
    <row r="646" spans="1:8" ht="48" hidden="1" customHeight="1" x14ac:dyDescent="0.2">
      <c r="A646" s="250" t="s">
        <v>845</v>
      </c>
      <c r="B646" s="127" t="s">
        <v>211</v>
      </c>
      <c r="C646" s="127" t="s">
        <v>747</v>
      </c>
      <c r="D646" s="127" t="s">
        <v>288</v>
      </c>
      <c r="E646" s="127" t="s">
        <v>679</v>
      </c>
      <c r="F646" s="128"/>
      <c r="G646" s="128"/>
      <c r="H646" s="128"/>
    </row>
    <row r="647" spans="1:8" ht="53.25" customHeight="1" x14ac:dyDescent="0.2">
      <c r="A647" s="258" t="s">
        <v>524</v>
      </c>
      <c r="B647" s="135" t="s">
        <v>211</v>
      </c>
      <c r="C647" s="135" t="s">
        <v>747</v>
      </c>
      <c r="D647" s="135" t="s">
        <v>846</v>
      </c>
      <c r="E647" s="135" t="s">
        <v>222</v>
      </c>
      <c r="F647" s="136">
        <f t="shared" ref="F647:H648" si="142">F648</f>
        <v>40</v>
      </c>
      <c r="G647" s="136">
        <f t="shared" si="142"/>
        <v>0</v>
      </c>
      <c r="H647" s="136">
        <f t="shared" si="142"/>
        <v>0</v>
      </c>
    </row>
    <row r="648" spans="1:8" ht="39" customHeight="1" x14ac:dyDescent="0.2">
      <c r="A648" s="250" t="s">
        <v>676</v>
      </c>
      <c r="B648" s="127" t="s">
        <v>211</v>
      </c>
      <c r="C648" s="127" t="s">
        <v>747</v>
      </c>
      <c r="D648" s="127" t="s">
        <v>491</v>
      </c>
      <c r="E648" s="127" t="s">
        <v>677</v>
      </c>
      <c r="F648" s="128">
        <f t="shared" si="142"/>
        <v>40</v>
      </c>
      <c r="G648" s="128">
        <f t="shared" si="142"/>
        <v>0</v>
      </c>
      <c r="H648" s="128">
        <f t="shared" si="142"/>
        <v>0</v>
      </c>
    </row>
    <row r="649" spans="1:8" ht="54" customHeight="1" x14ac:dyDescent="0.2">
      <c r="A649" s="250" t="s">
        <v>678</v>
      </c>
      <c r="B649" s="127" t="s">
        <v>211</v>
      </c>
      <c r="C649" s="127" t="s">
        <v>747</v>
      </c>
      <c r="D649" s="127" t="s">
        <v>491</v>
      </c>
      <c r="E649" s="127" t="s">
        <v>679</v>
      </c>
      <c r="F649" s="128">
        <f>'5'!D240</f>
        <v>40</v>
      </c>
      <c r="G649" s="128">
        <f>'5'!E240</f>
        <v>0</v>
      </c>
      <c r="H649" s="128">
        <f>'5'!F240</f>
        <v>0</v>
      </c>
    </row>
    <row r="650" spans="1:8" ht="48.6" hidden="1" customHeight="1" x14ac:dyDescent="0.2">
      <c r="A650" s="252" t="s">
        <v>669</v>
      </c>
      <c r="B650" s="145" t="s">
        <v>211</v>
      </c>
      <c r="C650" s="145" t="s">
        <v>747</v>
      </c>
      <c r="D650" s="145" t="s">
        <v>5</v>
      </c>
      <c r="E650" s="145" t="s">
        <v>222</v>
      </c>
      <c r="F650" s="146">
        <f>F651+F657+F660</f>
        <v>0</v>
      </c>
      <c r="G650" s="146">
        <f>G651+G657+G660</f>
        <v>0</v>
      </c>
      <c r="H650" s="146">
        <f>H651+H657+H660</f>
        <v>0</v>
      </c>
    </row>
    <row r="651" spans="1:8" ht="45.75" hidden="1" customHeight="1" x14ac:dyDescent="0.2">
      <c r="A651" s="250" t="s">
        <v>110</v>
      </c>
      <c r="B651" s="127" t="s">
        <v>211</v>
      </c>
      <c r="C651" s="127" t="s">
        <v>747</v>
      </c>
      <c r="D651" s="127" t="s">
        <v>6</v>
      </c>
      <c r="E651" s="127" t="s">
        <v>222</v>
      </c>
      <c r="F651" s="128">
        <f>F652</f>
        <v>0</v>
      </c>
      <c r="G651" s="128">
        <f>G652</f>
        <v>0</v>
      </c>
      <c r="H651" s="128">
        <f>H652</f>
        <v>0</v>
      </c>
    </row>
    <row r="652" spans="1:8" ht="51" hidden="1" customHeight="1" x14ac:dyDescent="0.2">
      <c r="A652" s="250" t="s">
        <v>112</v>
      </c>
      <c r="B652" s="127" t="s">
        <v>211</v>
      </c>
      <c r="C652" s="127" t="s">
        <v>747</v>
      </c>
      <c r="D652" s="127" t="s">
        <v>9</v>
      </c>
      <c r="E652" s="127" t="s">
        <v>222</v>
      </c>
      <c r="F652" s="128">
        <f>F653+F655</f>
        <v>0</v>
      </c>
      <c r="G652" s="128">
        <f>G653+G655</f>
        <v>0</v>
      </c>
      <c r="H652" s="128">
        <f>H653+H655</f>
        <v>0</v>
      </c>
    </row>
    <row r="653" spans="1:8" ht="95.25" hidden="1" customHeight="1" x14ac:dyDescent="0.2">
      <c r="A653" s="250" t="s">
        <v>670</v>
      </c>
      <c r="B653" s="127" t="s">
        <v>211</v>
      </c>
      <c r="C653" s="127" t="s">
        <v>747</v>
      </c>
      <c r="D653" s="127" t="s">
        <v>9</v>
      </c>
      <c r="E653" s="127" t="s">
        <v>671</v>
      </c>
      <c r="F653" s="128">
        <f>F654</f>
        <v>0</v>
      </c>
      <c r="G653" s="128">
        <f>G654</f>
        <v>0</v>
      </c>
      <c r="H653" s="128">
        <f>H654</f>
        <v>0</v>
      </c>
    </row>
    <row r="654" spans="1:8" ht="35.25" hidden="1" customHeight="1" x14ac:dyDescent="0.2">
      <c r="A654" s="250" t="s">
        <v>672</v>
      </c>
      <c r="B654" s="127" t="s">
        <v>211</v>
      </c>
      <c r="C654" s="127" t="s">
        <v>747</v>
      </c>
      <c r="D654" s="127" t="s">
        <v>9</v>
      </c>
      <c r="E654" s="127" t="s">
        <v>673</v>
      </c>
      <c r="F654" s="128">
        <v>0</v>
      </c>
      <c r="G654" s="128">
        <v>0</v>
      </c>
      <c r="H654" s="128">
        <v>0</v>
      </c>
    </row>
    <row r="655" spans="1:8" ht="34.5" hidden="1" customHeight="1" x14ac:dyDescent="0.2">
      <c r="A655" s="250" t="s">
        <v>676</v>
      </c>
      <c r="B655" s="127" t="s">
        <v>211</v>
      </c>
      <c r="C655" s="127" t="s">
        <v>747</v>
      </c>
      <c r="D655" s="127" t="s">
        <v>9</v>
      </c>
      <c r="E655" s="127" t="s">
        <v>677</v>
      </c>
      <c r="F655" s="128">
        <f>F656</f>
        <v>0</v>
      </c>
      <c r="G655" s="128">
        <f>G656</f>
        <v>0</v>
      </c>
      <c r="H655" s="128">
        <f>H656</f>
        <v>0</v>
      </c>
    </row>
    <row r="656" spans="1:8" ht="47.1" hidden="1" customHeight="1" x14ac:dyDescent="0.2">
      <c r="A656" s="250" t="s">
        <v>678</v>
      </c>
      <c r="B656" s="127" t="s">
        <v>211</v>
      </c>
      <c r="C656" s="127" t="s">
        <v>747</v>
      </c>
      <c r="D656" s="127" t="s">
        <v>9</v>
      </c>
      <c r="E656" s="127" t="s">
        <v>679</v>
      </c>
      <c r="F656" s="128">
        <v>0</v>
      </c>
      <c r="G656" s="128">
        <v>0</v>
      </c>
      <c r="H656" s="128">
        <v>0</v>
      </c>
    </row>
    <row r="657" spans="1:8" ht="19.149999999999999" hidden="1" customHeight="1" x14ac:dyDescent="0.2">
      <c r="A657" s="256" t="s">
        <v>451</v>
      </c>
      <c r="B657" s="147" t="s">
        <v>211</v>
      </c>
      <c r="C657" s="147" t="s">
        <v>747</v>
      </c>
      <c r="D657" s="147" t="s">
        <v>452</v>
      </c>
      <c r="E657" s="147" t="s">
        <v>222</v>
      </c>
      <c r="F657" s="131">
        <f t="shared" ref="F657:H658" si="143">F658</f>
        <v>0</v>
      </c>
      <c r="G657" s="131">
        <f t="shared" si="143"/>
        <v>0</v>
      </c>
      <c r="H657" s="131">
        <f t="shared" si="143"/>
        <v>0</v>
      </c>
    </row>
    <row r="658" spans="1:8" ht="36" hidden="1" customHeight="1" x14ac:dyDescent="0.2">
      <c r="A658" s="257" t="s">
        <v>676</v>
      </c>
      <c r="B658" s="133" t="s">
        <v>211</v>
      </c>
      <c r="C658" s="133" t="s">
        <v>747</v>
      </c>
      <c r="D658" s="133" t="s">
        <v>452</v>
      </c>
      <c r="E658" s="133" t="s">
        <v>677</v>
      </c>
      <c r="F658" s="357">
        <f t="shared" si="143"/>
        <v>0</v>
      </c>
      <c r="G658" s="357">
        <f t="shared" si="143"/>
        <v>0</v>
      </c>
      <c r="H658" s="357">
        <f t="shared" si="143"/>
        <v>0</v>
      </c>
    </row>
    <row r="659" spans="1:8" ht="47.1" hidden="1" customHeight="1" x14ac:dyDescent="0.2">
      <c r="A659" s="257" t="s">
        <v>678</v>
      </c>
      <c r="B659" s="133" t="s">
        <v>211</v>
      </c>
      <c r="C659" s="133" t="s">
        <v>747</v>
      </c>
      <c r="D659" s="133" t="s">
        <v>452</v>
      </c>
      <c r="E659" s="133" t="s">
        <v>679</v>
      </c>
      <c r="F659" s="357">
        <v>0</v>
      </c>
      <c r="G659" s="357">
        <v>0</v>
      </c>
      <c r="H659" s="357">
        <v>0</v>
      </c>
    </row>
    <row r="660" spans="1:8" s="143" customFormat="1" ht="82.15" hidden="1" customHeight="1" x14ac:dyDescent="0.25">
      <c r="A660" s="251" t="s">
        <v>847</v>
      </c>
      <c r="B660" s="8" t="s">
        <v>211</v>
      </c>
      <c r="C660" s="8" t="s">
        <v>747</v>
      </c>
      <c r="D660" s="8" t="s">
        <v>381</v>
      </c>
      <c r="E660" s="8" t="s">
        <v>222</v>
      </c>
      <c r="F660" s="129">
        <f>F661+F663</f>
        <v>0</v>
      </c>
      <c r="G660" s="129">
        <f>G661+G663</f>
        <v>0</v>
      </c>
      <c r="H660" s="129">
        <f>H661+H663</f>
        <v>0</v>
      </c>
    </row>
    <row r="661" spans="1:8" ht="97.5" hidden="1" customHeight="1" x14ac:dyDescent="0.2">
      <c r="A661" s="250" t="s">
        <v>670</v>
      </c>
      <c r="B661" s="127" t="s">
        <v>211</v>
      </c>
      <c r="C661" s="127" t="s">
        <v>747</v>
      </c>
      <c r="D661" s="127" t="s">
        <v>381</v>
      </c>
      <c r="E661" s="127" t="s">
        <v>671</v>
      </c>
      <c r="F661" s="128">
        <f>F662</f>
        <v>0</v>
      </c>
      <c r="G661" s="128">
        <f>G662</f>
        <v>0</v>
      </c>
      <c r="H661" s="128">
        <f>H662</f>
        <v>0</v>
      </c>
    </row>
    <row r="662" spans="1:8" ht="31.5" hidden="1" customHeight="1" x14ac:dyDescent="0.2">
      <c r="A662" s="250" t="s">
        <v>672</v>
      </c>
      <c r="B662" s="127" t="s">
        <v>211</v>
      </c>
      <c r="C662" s="127" t="s">
        <v>747</v>
      </c>
      <c r="D662" s="127" t="s">
        <v>381</v>
      </c>
      <c r="E662" s="127" t="s">
        <v>673</v>
      </c>
      <c r="F662" s="357"/>
      <c r="G662" s="357"/>
      <c r="H662" s="357"/>
    </row>
    <row r="663" spans="1:8" ht="35.25" hidden="1" customHeight="1" x14ac:dyDescent="0.2">
      <c r="A663" s="250" t="s">
        <v>676</v>
      </c>
      <c r="B663" s="127" t="s">
        <v>211</v>
      </c>
      <c r="C663" s="127" t="s">
        <v>747</v>
      </c>
      <c r="D663" s="127" t="s">
        <v>381</v>
      </c>
      <c r="E663" s="127" t="s">
        <v>677</v>
      </c>
      <c r="F663" s="128">
        <f>F664</f>
        <v>0</v>
      </c>
      <c r="G663" s="128">
        <f>G664</f>
        <v>0</v>
      </c>
      <c r="H663" s="128">
        <f>H664</f>
        <v>0</v>
      </c>
    </row>
    <row r="664" spans="1:8" ht="48" hidden="1" customHeight="1" x14ac:dyDescent="0.2">
      <c r="A664" s="250" t="s">
        <v>678</v>
      </c>
      <c r="B664" s="127" t="s">
        <v>211</v>
      </c>
      <c r="C664" s="127" t="s">
        <v>747</v>
      </c>
      <c r="D664" s="127" t="s">
        <v>381</v>
      </c>
      <c r="E664" s="127" t="s">
        <v>679</v>
      </c>
      <c r="F664" s="128"/>
      <c r="G664" s="128"/>
      <c r="H664" s="128"/>
    </row>
    <row r="665" spans="1:8" ht="48" hidden="1" customHeight="1" x14ac:dyDescent="0.2">
      <c r="A665" s="250"/>
      <c r="B665" s="127"/>
      <c r="C665" s="127"/>
      <c r="D665" s="127"/>
      <c r="E665" s="127"/>
      <c r="F665" s="128"/>
      <c r="G665" s="128"/>
      <c r="H665" s="128"/>
    </row>
    <row r="666" spans="1:8" ht="48" hidden="1" customHeight="1" x14ac:dyDescent="0.2">
      <c r="A666" s="250"/>
      <c r="B666" s="127"/>
      <c r="C666" s="127"/>
      <c r="D666" s="127"/>
      <c r="E666" s="127"/>
      <c r="F666" s="128"/>
      <c r="G666" s="128"/>
      <c r="H666" s="128"/>
    </row>
    <row r="667" spans="1:8" ht="48" hidden="1" customHeight="1" x14ac:dyDescent="0.2">
      <c r="A667" s="250"/>
      <c r="B667" s="127"/>
      <c r="C667" s="127"/>
      <c r="D667" s="127"/>
      <c r="E667" s="127"/>
      <c r="F667" s="128"/>
      <c r="G667" s="128"/>
      <c r="H667" s="128"/>
    </row>
    <row r="668" spans="1:8" ht="48" hidden="1" customHeight="1" x14ac:dyDescent="0.2">
      <c r="A668" s="250"/>
      <c r="B668" s="127"/>
      <c r="C668" s="127"/>
      <c r="D668" s="127"/>
      <c r="E668" s="127"/>
      <c r="F668" s="128"/>
      <c r="G668" s="128"/>
      <c r="H668" s="128"/>
    </row>
    <row r="669" spans="1:8" ht="48" hidden="1" customHeight="1" x14ac:dyDescent="0.2">
      <c r="A669" s="250"/>
      <c r="B669" s="127"/>
      <c r="C669" s="127"/>
      <c r="D669" s="127"/>
      <c r="E669" s="127"/>
      <c r="F669" s="128"/>
      <c r="G669" s="128"/>
      <c r="H669" s="128"/>
    </row>
    <row r="670" spans="1:8" s="143" customFormat="1" ht="16.5" customHeight="1" x14ac:dyDescent="0.25">
      <c r="A670" s="260" t="s">
        <v>848</v>
      </c>
      <c r="B670" s="118" t="s">
        <v>758</v>
      </c>
      <c r="C670" s="118" t="s">
        <v>109</v>
      </c>
      <c r="D670" s="118" t="s">
        <v>666</v>
      </c>
      <c r="E670" s="118" t="s">
        <v>222</v>
      </c>
      <c r="F670" s="119">
        <f>F671+F729</f>
        <v>34466.307650000002</v>
      </c>
      <c r="G670" s="119">
        <f>G671+G729</f>
        <v>16013.952020000002</v>
      </c>
      <c r="H670" s="119">
        <f>H671+H729</f>
        <v>16013.952020000002</v>
      </c>
    </row>
    <row r="671" spans="1:8" s="130" customFormat="1" ht="18" customHeight="1" x14ac:dyDescent="0.2">
      <c r="A671" s="249" t="s">
        <v>849</v>
      </c>
      <c r="B671" s="122" t="s">
        <v>758</v>
      </c>
      <c r="C671" s="122" t="s">
        <v>108</v>
      </c>
      <c r="D671" s="122" t="s">
        <v>666</v>
      </c>
      <c r="E671" s="122" t="s">
        <v>222</v>
      </c>
      <c r="F671" s="123">
        <f>F672</f>
        <v>31008.296750000001</v>
      </c>
      <c r="G671" s="123">
        <f t="shared" ref="G671:H671" si="144">G672</f>
        <v>14542.752020000002</v>
      </c>
      <c r="H671" s="123">
        <f t="shared" si="144"/>
        <v>14542.752020000002</v>
      </c>
    </row>
    <row r="672" spans="1:8" s="130" customFormat="1" ht="57" customHeight="1" x14ac:dyDescent="0.2">
      <c r="A672" s="251" t="s">
        <v>850</v>
      </c>
      <c r="B672" s="8" t="s">
        <v>758</v>
      </c>
      <c r="C672" s="8" t="s">
        <v>108</v>
      </c>
      <c r="D672" s="8" t="s">
        <v>58</v>
      </c>
      <c r="E672" s="8" t="s">
        <v>222</v>
      </c>
      <c r="F672" s="129">
        <f>F673+F687+F693+F726+F678+F705+F712+F690+F719+F700</f>
        <v>31008.296750000001</v>
      </c>
      <c r="G672" s="129">
        <f>G673+G687+G693+G726+G678+G705+G712+G690</f>
        <v>14542.752020000002</v>
      </c>
      <c r="H672" s="129">
        <f>H673+H687+H693+H726+H678+H705+H712+H690</f>
        <v>14542.752020000002</v>
      </c>
    </row>
    <row r="673" spans="1:8" ht="72.75" customHeight="1" x14ac:dyDescent="0.2">
      <c r="A673" s="259" t="s">
        <v>292</v>
      </c>
      <c r="B673" s="127" t="s">
        <v>758</v>
      </c>
      <c r="C673" s="127" t="s">
        <v>108</v>
      </c>
      <c r="D673" s="127" t="s">
        <v>59</v>
      </c>
      <c r="E673" s="127" t="s">
        <v>222</v>
      </c>
      <c r="F673" s="128">
        <f>F674+F676</f>
        <v>12005.063000000002</v>
      </c>
      <c r="G673" s="128">
        <f>G674+G676</f>
        <v>8899.4500000000007</v>
      </c>
      <c r="H673" s="128">
        <f>H674+H676</f>
        <v>8899.4500000000007</v>
      </c>
    </row>
    <row r="674" spans="1:8" ht="52.5" customHeight="1" x14ac:dyDescent="0.2">
      <c r="A674" s="250" t="s">
        <v>715</v>
      </c>
      <c r="B674" s="127" t="s">
        <v>758</v>
      </c>
      <c r="C674" s="127" t="s">
        <v>108</v>
      </c>
      <c r="D674" s="127" t="s">
        <v>60</v>
      </c>
      <c r="E674" s="127" t="s">
        <v>714</v>
      </c>
      <c r="F674" s="357">
        <f>F675</f>
        <v>11557.350000000002</v>
      </c>
      <c r="G674" s="128">
        <f>G675</f>
        <v>8899.4500000000007</v>
      </c>
      <c r="H674" s="128">
        <f>H675</f>
        <v>8899.4500000000007</v>
      </c>
    </row>
    <row r="675" spans="1:8" ht="25.5" customHeight="1" x14ac:dyDescent="0.2">
      <c r="A675" s="250" t="s">
        <v>124</v>
      </c>
      <c r="B675" s="127" t="s">
        <v>758</v>
      </c>
      <c r="C675" s="127" t="s">
        <v>108</v>
      </c>
      <c r="D675" s="127" t="s">
        <v>61</v>
      </c>
      <c r="E675" s="127" t="s">
        <v>165</v>
      </c>
      <c r="F675" s="357">
        <f>'5'!D149</f>
        <v>11557.350000000002</v>
      </c>
      <c r="G675" s="357">
        <f>'5'!E149</f>
        <v>8899.4500000000007</v>
      </c>
      <c r="H675" s="357">
        <f>'5'!F149</f>
        <v>8899.4500000000007</v>
      </c>
    </row>
    <row r="676" spans="1:8" ht="119.25" customHeight="1" x14ac:dyDescent="0.2">
      <c r="A676" s="250" t="s">
        <v>851</v>
      </c>
      <c r="B676" s="127" t="s">
        <v>758</v>
      </c>
      <c r="C676" s="127" t="s">
        <v>108</v>
      </c>
      <c r="D676" s="127" t="s">
        <v>77</v>
      </c>
      <c r="E676" s="127" t="s">
        <v>165</v>
      </c>
      <c r="F676" s="357">
        <f>F677</f>
        <v>447.71300000000002</v>
      </c>
      <c r="G676" s="128">
        <f>G677</f>
        <v>0</v>
      </c>
      <c r="H676" s="128">
        <f>H677</f>
        <v>0</v>
      </c>
    </row>
    <row r="677" spans="1:8" ht="18" hidden="1" customHeight="1" x14ac:dyDescent="0.2">
      <c r="A677" s="250" t="s">
        <v>124</v>
      </c>
      <c r="B677" s="127" t="s">
        <v>758</v>
      </c>
      <c r="C677" s="127" t="s">
        <v>108</v>
      </c>
      <c r="D677" s="127" t="s">
        <v>77</v>
      </c>
      <c r="E677" s="127" t="s">
        <v>165</v>
      </c>
      <c r="F677" s="357">
        <f>'5'!D150</f>
        <v>447.71300000000002</v>
      </c>
      <c r="G677" s="357">
        <f>'5'!E150</f>
        <v>0</v>
      </c>
      <c r="H677" s="357">
        <f>'5'!F150</f>
        <v>0</v>
      </c>
    </row>
    <row r="678" spans="1:8" ht="103.15" hidden="1" customHeight="1" x14ac:dyDescent="0.2">
      <c r="A678" s="250" t="s">
        <v>407</v>
      </c>
      <c r="B678" s="127" t="s">
        <v>758</v>
      </c>
      <c r="C678" s="127" t="s">
        <v>108</v>
      </c>
      <c r="D678" s="127" t="s">
        <v>424</v>
      </c>
      <c r="E678" s="127" t="s">
        <v>222</v>
      </c>
      <c r="F678" s="357">
        <f>F679</f>
        <v>0</v>
      </c>
      <c r="G678" s="128">
        <f>G679</f>
        <v>0</v>
      </c>
      <c r="H678" s="128">
        <f>H679</f>
        <v>0</v>
      </c>
    </row>
    <row r="679" spans="1:8" ht="21.6" hidden="1" customHeight="1" x14ac:dyDescent="0.2">
      <c r="A679" s="250" t="s">
        <v>124</v>
      </c>
      <c r="B679" s="127" t="s">
        <v>758</v>
      </c>
      <c r="C679" s="127" t="s">
        <v>108</v>
      </c>
      <c r="D679" s="127" t="s">
        <v>424</v>
      </c>
      <c r="E679" s="127" t="s">
        <v>165</v>
      </c>
      <c r="F679" s="357"/>
      <c r="G679" s="128"/>
      <c r="H679" s="128"/>
    </row>
    <row r="680" spans="1:8" ht="77.25" hidden="1" customHeight="1" x14ac:dyDescent="0.2">
      <c r="A680" s="252" t="s">
        <v>325</v>
      </c>
      <c r="B680" s="145" t="s">
        <v>758</v>
      </c>
      <c r="C680" s="145" t="s">
        <v>108</v>
      </c>
      <c r="D680" s="145" t="s">
        <v>59</v>
      </c>
      <c r="E680" s="145" t="s">
        <v>222</v>
      </c>
      <c r="F680" s="349">
        <f>F681+F684</f>
        <v>0</v>
      </c>
      <c r="G680" s="146">
        <f>G681+G684</f>
        <v>0</v>
      </c>
      <c r="H680" s="146">
        <f>H681+H684</f>
        <v>0</v>
      </c>
    </row>
    <row r="681" spans="1:8" ht="79.5" hidden="1" customHeight="1" x14ac:dyDescent="0.2">
      <c r="A681" s="251" t="s">
        <v>326</v>
      </c>
      <c r="B681" s="8" t="s">
        <v>758</v>
      </c>
      <c r="C681" s="8" t="s">
        <v>108</v>
      </c>
      <c r="D681" s="8" t="s">
        <v>327</v>
      </c>
      <c r="E681" s="8" t="s">
        <v>222</v>
      </c>
      <c r="F681" s="131">
        <f t="shared" ref="F681:H682" si="145">F682</f>
        <v>0</v>
      </c>
      <c r="G681" s="129">
        <f t="shared" si="145"/>
        <v>0</v>
      </c>
      <c r="H681" s="129">
        <f t="shared" si="145"/>
        <v>0</v>
      </c>
    </row>
    <row r="682" spans="1:8" ht="48.75" hidden="1" customHeight="1" x14ac:dyDescent="0.2">
      <c r="A682" s="250" t="s">
        <v>715</v>
      </c>
      <c r="B682" s="127" t="s">
        <v>758</v>
      </c>
      <c r="C682" s="127" t="s">
        <v>108</v>
      </c>
      <c r="D682" s="127" t="s">
        <v>327</v>
      </c>
      <c r="E682" s="127" t="s">
        <v>714</v>
      </c>
      <c r="F682" s="357">
        <f t="shared" si="145"/>
        <v>0</v>
      </c>
      <c r="G682" s="128">
        <f t="shared" si="145"/>
        <v>0</v>
      </c>
      <c r="H682" s="128">
        <f t="shared" si="145"/>
        <v>0</v>
      </c>
    </row>
    <row r="683" spans="1:8" ht="20.25" hidden="1" customHeight="1" x14ac:dyDescent="0.2">
      <c r="A683" s="250" t="s">
        <v>124</v>
      </c>
      <c r="B683" s="127" t="s">
        <v>758</v>
      </c>
      <c r="C683" s="127" t="s">
        <v>108</v>
      </c>
      <c r="D683" s="127" t="s">
        <v>327</v>
      </c>
      <c r="E683" s="127" t="s">
        <v>165</v>
      </c>
      <c r="F683" s="357"/>
      <c r="G683" s="128"/>
      <c r="H683" s="128"/>
    </row>
    <row r="684" spans="1:8" ht="128.65" hidden="1" customHeight="1" x14ac:dyDescent="0.2">
      <c r="A684" s="251" t="s">
        <v>852</v>
      </c>
      <c r="B684" s="8" t="s">
        <v>758</v>
      </c>
      <c r="C684" s="8" t="s">
        <v>108</v>
      </c>
      <c r="D684" s="8" t="s">
        <v>328</v>
      </c>
      <c r="E684" s="8" t="s">
        <v>222</v>
      </c>
      <c r="F684" s="131">
        <f t="shared" ref="F684:H685" si="146">F685</f>
        <v>0</v>
      </c>
      <c r="G684" s="129">
        <f t="shared" si="146"/>
        <v>0</v>
      </c>
      <c r="H684" s="129">
        <f t="shared" si="146"/>
        <v>0</v>
      </c>
    </row>
    <row r="685" spans="1:8" ht="51.75" hidden="1" customHeight="1" x14ac:dyDescent="0.2">
      <c r="A685" s="250" t="s">
        <v>715</v>
      </c>
      <c r="B685" s="127" t="s">
        <v>758</v>
      </c>
      <c r="C685" s="127" t="s">
        <v>108</v>
      </c>
      <c r="D685" s="127" t="s">
        <v>328</v>
      </c>
      <c r="E685" s="127" t="s">
        <v>714</v>
      </c>
      <c r="F685" s="357">
        <f t="shared" si="146"/>
        <v>0</v>
      </c>
      <c r="G685" s="128">
        <f t="shared" si="146"/>
        <v>0</v>
      </c>
      <c r="H685" s="128">
        <f t="shared" si="146"/>
        <v>0</v>
      </c>
    </row>
    <row r="686" spans="1:8" ht="23.25" hidden="1" customHeight="1" x14ac:dyDescent="0.2">
      <c r="A686" s="250" t="s">
        <v>124</v>
      </c>
      <c r="B686" s="127" t="s">
        <v>758</v>
      </c>
      <c r="C686" s="127" t="s">
        <v>108</v>
      </c>
      <c r="D686" s="127" t="s">
        <v>328</v>
      </c>
      <c r="E686" s="127" t="s">
        <v>165</v>
      </c>
      <c r="F686" s="357"/>
      <c r="G686" s="128"/>
      <c r="H686" s="128"/>
    </row>
    <row r="687" spans="1:8" ht="72.75" hidden="1" customHeight="1" x14ac:dyDescent="0.2">
      <c r="A687" s="259" t="s">
        <v>293</v>
      </c>
      <c r="B687" s="127" t="s">
        <v>758</v>
      </c>
      <c r="C687" s="127" t="s">
        <v>108</v>
      </c>
      <c r="D687" s="127" t="s">
        <v>62</v>
      </c>
      <c r="E687" s="127" t="s">
        <v>222</v>
      </c>
      <c r="F687" s="357">
        <f t="shared" ref="F687:H688" si="147">F688</f>
        <v>4903.3999999999996</v>
      </c>
      <c r="G687" s="128">
        <f t="shared" si="147"/>
        <v>3524.1</v>
      </c>
      <c r="H687" s="128">
        <f t="shared" si="147"/>
        <v>3524.1</v>
      </c>
    </row>
    <row r="688" spans="1:8" ht="54" customHeight="1" x14ac:dyDescent="0.2">
      <c r="A688" s="250" t="s">
        <v>715</v>
      </c>
      <c r="B688" s="127" t="s">
        <v>758</v>
      </c>
      <c r="C688" s="127" t="s">
        <v>108</v>
      </c>
      <c r="D688" s="127" t="s">
        <v>62</v>
      </c>
      <c r="E688" s="127" t="s">
        <v>714</v>
      </c>
      <c r="F688" s="357">
        <f t="shared" si="147"/>
        <v>4903.3999999999996</v>
      </c>
      <c r="G688" s="128">
        <f t="shared" si="147"/>
        <v>3524.1</v>
      </c>
      <c r="H688" s="128">
        <f t="shared" si="147"/>
        <v>3524.1</v>
      </c>
    </row>
    <row r="689" spans="1:8" ht="22.5" customHeight="1" x14ac:dyDescent="0.2">
      <c r="A689" s="250" t="s">
        <v>124</v>
      </c>
      <c r="B689" s="127" t="s">
        <v>758</v>
      </c>
      <c r="C689" s="127" t="s">
        <v>108</v>
      </c>
      <c r="D689" s="127" t="s">
        <v>62</v>
      </c>
      <c r="E689" s="127" t="s">
        <v>165</v>
      </c>
      <c r="F689" s="357">
        <f>'5'!D168</f>
        <v>4903.3999999999996</v>
      </c>
      <c r="G689" s="357">
        <f>'5'!E168</f>
        <v>3524.1</v>
      </c>
      <c r="H689" s="357">
        <f>'5'!F168</f>
        <v>3524.1</v>
      </c>
    </row>
    <row r="690" spans="1:8" ht="115.15" customHeight="1" x14ac:dyDescent="0.2">
      <c r="A690" s="252" t="s">
        <v>853</v>
      </c>
      <c r="B690" s="145" t="s">
        <v>758</v>
      </c>
      <c r="C690" s="145" t="s">
        <v>108</v>
      </c>
      <c r="D690" s="154" t="s">
        <v>854</v>
      </c>
      <c r="E690" s="145" t="s">
        <v>222</v>
      </c>
      <c r="F690" s="349">
        <f>F691+F692</f>
        <v>1611.31423</v>
      </c>
      <c r="G690" s="146">
        <f>G691+G692</f>
        <v>0</v>
      </c>
      <c r="H690" s="146">
        <f>H691+H692</f>
        <v>0</v>
      </c>
    </row>
    <row r="691" spans="1:8" ht="123" customHeight="1" x14ac:dyDescent="0.2">
      <c r="A691" s="250" t="s">
        <v>855</v>
      </c>
      <c r="B691" s="127" t="s">
        <v>758</v>
      </c>
      <c r="C691" s="127" t="s">
        <v>108</v>
      </c>
      <c r="D691" s="133" t="s">
        <v>551</v>
      </c>
      <c r="E691" s="127" t="s">
        <v>165</v>
      </c>
      <c r="F691" s="128">
        <f>'5'!D170</f>
        <v>1608.7142899999999</v>
      </c>
      <c r="G691" s="128">
        <f>'5'!E170</f>
        <v>0</v>
      </c>
      <c r="H691" s="128">
        <f>'5'!F170</f>
        <v>0</v>
      </c>
    </row>
    <row r="692" spans="1:8" ht="152.25" customHeight="1" x14ac:dyDescent="0.2">
      <c r="A692" s="250" t="s">
        <v>856</v>
      </c>
      <c r="B692" s="127" t="s">
        <v>758</v>
      </c>
      <c r="C692" s="127" t="s">
        <v>108</v>
      </c>
      <c r="D692" s="133" t="s">
        <v>551</v>
      </c>
      <c r="E692" s="127" t="s">
        <v>165</v>
      </c>
      <c r="F692" s="357">
        <f>'5'!D171</f>
        <v>2.5999400000000001</v>
      </c>
      <c r="G692" s="128">
        <f>'5'!E171</f>
        <v>0</v>
      </c>
      <c r="H692" s="128">
        <f>'5'!F171</f>
        <v>0</v>
      </c>
    </row>
    <row r="693" spans="1:8" ht="54.75" customHeight="1" x14ac:dyDescent="0.2">
      <c r="A693" s="252" t="s">
        <v>329</v>
      </c>
      <c r="B693" s="127" t="s">
        <v>758</v>
      </c>
      <c r="C693" s="127" t="s">
        <v>108</v>
      </c>
      <c r="D693" s="145" t="s">
        <v>330</v>
      </c>
      <c r="E693" s="145" t="s">
        <v>222</v>
      </c>
      <c r="F693" s="146">
        <f>F694+F697</f>
        <v>169.70202</v>
      </c>
      <c r="G693" s="146">
        <f>G694+G697</f>
        <v>169.70202</v>
      </c>
      <c r="H693" s="146">
        <f>H694+H697</f>
        <v>169.70202</v>
      </c>
    </row>
    <row r="694" spans="1:8" ht="85.5" customHeight="1" x14ac:dyDescent="0.2">
      <c r="A694" s="250" t="s">
        <v>857</v>
      </c>
      <c r="B694" s="127" t="s">
        <v>758</v>
      </c>
      <c r="C694" s="127" t="s">
        <v>108</v>
      </c>
      <c r="D694" s="127" t="s">
        <v>331</v>
      </c>
      <c r="E694" s="127" t="s">
        <v>222</v>
      </c>
      <c r="F694" s="128">
        <f t="shared" ref="F694:H695" si="148">F695</f>
        <v>168.005</v>
      </c>
      <c r="G694" s="128">
        <f t="shared" si="148"/>
        <v>168.005</v>
      </c>
      <c r="H694" s="128">
        <f t="shared" si="148"/>
        <v>168.005</v>
      </c>
    </row>
    <row r="695" spans="1:8" ht="56.25" customHeight="1" x14ac:dyDescent="0.2">
      <c r="A695" s="250" t="s">
        <v>715</v>
      </c>
      <c r="B695" s="127" t="s">
        <v>758</v>
      </c>
      <c r="C695" s="127" t="s">
        <v>108</v>
      </c>
      <c r="D695" s="127" t="s">
        <v>331</v>
      </c>
      <c r="E695" s="127" t="s">
        <v>714</v>
      </c>
      <c r="F695" s="128">
        <f t="shared" si="148"/>
        <v>168.005</v>
      </c>
      <c r="G695" s="128">
        <f t="shared" si="148"/>
        <v>168.005</v>
      </c>
      <c r="H695" s="128">
        <f t="shared" si="148"/>
        <v>168.005</v>
      </c>
    </row>
    <row r="696" spans="1:8" ht="24.75" customHeight="1" x14ac:dyDescent="0.2">
      <c r="A696" s="250" t="s">
        <v>124</v>
      </c>
      <c r="B696" s="127" t="s">
        <v>758</v>
      </c>
      <c r="C696" s="127" t="s">
        <v>108</v>
      </c>
      <c r="D696" s="127" t="s">
        <v>331</v>
      </c>
      <c r="E696" s="127" t="s">
        <v>165</v>
      </c>
      <c r="F696" s="128">
        <v>168.005</v>
      </c>
      <c r="G696" s="128">
        <v>168.005</v>
      </c>
      <c r="H696" s="128">
        <v>168.005</v>
      </c>
    </row>
    <row r="697" spans="1:8" ht="119.25" customHeight="1" x14ac:dyDescent="0.2">
      <c r="A697" s="250" t="s">
        <v>858</v>
      </c>
      <c r="B697" s="127" t="s">
        <v>758</v>
      </c>
      <c r="C697" s="127" t="s">
        <v>108</v>
      </c>
      <c r="D697" s="127" t="s">
        <v>582</v>
      </c>
      <c r="E697" s="127" t="s">
        <v>222</v>
      </c>
      <c r="F697" s="128">
        <f t="shared" ref="F697:H698" si="149">F698</f>
        <v>1.69702</v>
      </c>
      <c r="G697" s="128">
        <f t="shared" si="149"/>
        <v>1.69702</v>
      </c>
      <c r="H697" s="128">
        <f t="shared" si="149"/>
        <v>1.69702</v>
      </c>
    </row>
    <row r="698" spans="1:8" ht="53.25" customHeight="1" x14ac:dyDescent="0.2">
      <c r="A698" s="250" t="s">
        <v>715</v>
      </c>
      <c r="B698" s="127" t="s">
        <v>758</v>
      </c>
      <c r="C698" s="127" t="s">
        <v>108</v>
      </c>
      <c r="D698" s="127" t="s">
        <v>582</v>
      </c>
      <c r="E698" s="127" t="s">
        <v>714</v>
      </c>
      <c r="F698" s="128">
        <f t="shared" si="149"/>
        <v>1.69702</v>
      </c>
      <c r="G698" s="128">
        <f t="shared" si="149"/>
        <v>1.69702</v>
      </c>
      <c r="H698" s="128">
        <f t="shared" si="149"/>
        <v>1.69702</v>
      </c>
    </row>
    <row r="699" spans="1:8" ht="23.25" customHeight="1" x14ac:dyDescent="0.2">
      <c r="A699" s="250" t="s">
        <v>124</v>
      </c>
      <c r="B699" s="127" t="s">
        <v>758</v>
      </c>
      <c r="C699" s="127" t="s">
        <v>108</v>
      </c>
      <c r="D699" s="127" t="s">
        <v>582</v>
      </c>
      <c r="E699" s="127" t="s">
        <v>165</v>
      </c>
      <c r="F699" s="128">
        <v>1.69702</v>
      </c>
      <c r="G699" s="128">
        <v>1.69702</v>
      </c>
      <c r="H699" s="128">
        <v>1.69702</v>
      </c>
    </row>
    <row r="700" spans="1:8" ht="53.45" customHeight="1" x14ac:dyDescent="0.2">
      <c r="A700" s="252" t="s">
        <v>859</v>
      </c>
      <c r="B700" s="127" t="s">
        <v>758</v>
      </c>
      <c r="C700" s="127" t="s">
        <v>108</v>
      </c>
      <c r="D700" s="145" t="s">
        <v>59</v>
      </c>
      <c r="E700" s="145" t="s">
        <v>222</v>
      </c>
      <c r="F700" s="146">
        <f>F701+F703</f>
        <v>9285.8253499999992</v>
      </c>
      <c r="G700" s="146">
        <f>G701+G703</f>
        <v>0</v>
      </c>
      <c r="H700" s="146">
        <f>H701+H703</f>
        <v>0</v>
      </c>
    </row>
    <row r="701" spans="1:8" ht="89.25" customHeight="1" x14ac:dyDescent="0.2">
      <c r="A701" s="251" t="s">
        <v>860</v>
      </c>
      <c r="B701" s="127" t="s">
        <v>758</v>
      </c>
      <c r="C701" s="127" t="s">
        <v>108</v>
      </c>
      <c r="D701" s="8" t="s">
        <v>465</v>
      </c>
      <c r="E701" s="8" t="s">
        <v>714</v>
      </c>
      <c r="F701" s="128">
        <f>F702</f>
        <v>9192.9670999999998</v>
      </c>
      <c r="G701" s="128">
        <f>G702</f>
        <v>0</v>
      </c>
      <c r="H701" s="128">
        <f>H702</f>
        <v>0</v>
      </c>
    </row>
    <row r="702" spans="1:8" ht="23.25" customHeight="1" x14ac:dyDescent="0.2">
      <c r="A702" s="250" t="s">
        <v>124</v>
      </c>
      <c r="B702" s="127" t="s">
        <v>758</v>
      </c>
      <c r="C702" s="127" t="s">
        <v>108</v>
      </c>
      <c r="D702" s="8" t="s">
        <v>465</v>
      </c>
      <c r="E702" s="127" t="s">
        <v>165</v>
      </c>
      <c r="F702" s="128">
        <f>'5'!D156</f>
        <v>9192.9670999999998</v>
      </c>
      <c r="G702" s="128">
        <f>'5'!E156</f>
        <v>0</v>
      </c>
      <c r="H702" s="128">
        <f>'5'!F156</f>
        <v>0</v>
      </c>
    </row>
    <row r="703" spans="1:8" ht="103.5" customHeight="1" x14ac:dyDescent="0.2">
      <c r="A703" s="251" t="s">
        <v>464</v>
      </c>
      <c r="B703" s="127" t="s">
        <v>758</v>
      </c>
      <c r="C703" s="127" t="s">
        <v>108</v>
      </c>
      <c r="D703" s="8" t="s">
        <v>466</v>
      </c>
      <c r="E703" s="8" t="s">
        <v>714</v>
      </c>
      <c r="F703" s="129">
        <f>F704</f>
        <v>92.858249999999998</v>
      </c>
      <c r="G703" s="129">
        <f>G704</f>
        <v>0</v>
      </c>
      <c r="H703" s="129">
        <f>H704</f>
        <v>0</v>
      </c>
    </row>
    <row r="704" spans="1:8" ht="18.600000000000001" customHeight="1" x14ac:dyDescent="0.2">
      <c r="A704" s="250" t="s">
        <v>124</v>
      </c>
      <c r="B704" s="127" t="s">
        <v>758</v>
      </c>
      <c r="C704" s="127" t="s">
        <v>108</v>
      </c>
      <c r="D704" s="127" t="s">
        <v>466</v>
      </c>
      <c r="E704" s="127" t="s">
        <v>165</v>
      </c>
      <c r="F704" s="128">
        <f>'5'!D157</f>
        <v>92.858249999999998</v>
      </c>
      <c r="G704" s="128">
        <f>'5'!E157</f>
        <v>0</v>
      </c>
      <c r="H704" s="128">
        <f>'5'!F157</f>
        <v>0</v>
      </c>
    </row>
    <row r="705" spans="1:8" ht="48.6" hidden="1" customHeight="1" x14ac:dyDescent="0.2">
      <c r="A705" s="252" t="s">
        <v>533</v>
      </c>
      <c r="B705" s="145" t="s">
        <v>758</v>
      </c>
      <c r="C705" s="145" t="s">
        <v>108</v>
      </c>
      <c r="D705" s="145" t="s">
        <v>59</v>
      </c>
      <c r="E705" s="145" t="s">
        <v>222</v>
      </c>
      <c r="F705" s="146">
        <f>F706+F709</f>
        <v>0</v>
      </c>
      <c r="G705" s="146">
        <f>G706+G709</f>
        <v>0</v>
      </c>
      <c r="H705" s="146">
        <f>H706+H709</f>
        <v>0</v>
      </c>
    </row>
    <row r="706" spans="1:8" ht="63" hidden="1" customHeight="1" x14ac:dyDescent="0.2">
      <c r="A706" s="250" t="s">
        <v>534</v>
      </c>
      <c r="B706" s="127" t="s">
        <v>758</v>
      </c>
      <c r="C706" s="127" t="s">
        <v>108</v>
      </c>
      <c r="D706" s="127" t="s">
        <v>535</v>
      </c>
      <c r="E706" s="127" t="s">
        <v>222</v>
      </c>
      <c r="F706" s="128">
        <f t="shared" ref="F706:H707" si="150">F707</f>
        <v>0</v>
      </c>
      <c r="G706" s="128">
        <f t="shared" si="150"/>
        <v>0</v>
      </c>
      <c r="H706" s="128">
        <f t="shared" si="150"/>
        <v>0</v>
      </c>
    </row>
    <row r="707" spans="1:8" ht="49.15" hidden="1" customHeight="1" x14ac:dyDescent="0.2">
      <c r="A707" s="250" t="s">
        <v>715</v>
      </c>
      <c r="B707" s="127" t="s">
        <v>758</v>
      </c>
      <c r="C707" s="127" t="s">
        <v>108</v>
      </c>
      <c r="D707" s="127" t="s">
        <v>535</v>
      </c>
      <c r="E707" s="127" t="s">
        <v>714</v>
      </c>
      <c r="F707" s="128">
        <f t="shared" si="150"/>
        <v>0</v>
      </c>
      <c r="G707" s="128">
        <f t="shared" si="150"/>
        <v>0</v>
      </c>
      <c r="H707" s="128">
        <f t="shared" si="150"/>
        <v>0</v>
      </c>
    </row>
    <row r="708" spans="1:8" ht="18.600000000000001" hidden="1" customHeight="1" x14ac:dyDescent="0.2">
      <c r="A708" s="250" t="s">
        <v>124</v>
      </c>
      <c r="B708" s="127" t="s">
        <v>758</v>
      </c>
      <c r="C708" s="127" t="s">
        <v>108</v>
      </c>
      <c r="D708" s="127" t="s">
        <v>535</v>
      </c>
      <c r="E708" s="127" t="s">
        <v>165</v>
      </c>
      <c r="F708" s="128"/>
      <c r="G708" s="128"/>
      <c r="H708" s="128"/>
    </row>
    <row r="709" spans="1:8" ht="80.45" hidden="1" customHeight="1" x14ac:dyDescent="0.2">
      <c r="A709" s="250" t="s">
        <v>536</v>
      </c>
      <c r="B709" s="127" t="s">
        <v>758</v>
      </c>
      <c r="C709" s="127" t="s">
        <v>108</v>
      </c>
      <c r="D709" s="127" t="s">
        <v>861</v>
      </c>
      <c r="E709" s="127" t="s">
        <v>222</v>
      </c>
      <c r="F709" s="128">
        <f t="shared" ref="F709:H710" si="151">F710</f>
        <v>0</v>
      </c>
      <c r="G709" s="128">
        <f t="shared" si="151"/>
        <v>0</v>
      </c>
      <c r="H709" s="128">
        <f t="shared" si="151"/>
        <v>0</v>
      </c>
    </row>
    <row r="710" spans="1:8" ht="52.15" hidden="1" customHeight="1" x14ac:dyDescent="0.2">
      <c r="A710" s="250" t="s">
        <v>715</v>
      </c>
      <c r="B710" s="127" t="s">
        <v>758</v>
      </c>
      <c r="C710" s="127" t="s">
        <v>108</v>
      </c>
      <c r="D710" s="127" t="s">
        <v>861</v>
      </c>
      <c r="E710" s="127" t="s">
        <v>714</v>
      </c>
      <c r="F710" s="128">
        <f t="shared" si="151"/>
        <v>0</v>
      </c>
      <c r="G710" s="128">
        <f t="shared" si="151"/>
        <v>0</v>
      </c>
      <c r="H710" s="128">
        <f t="shared" si="151"/>
        <v>0</v>
      </c>
    </row>
    <row r="711" spans="1:8" ht="18.600000000000001" hidden="1" customHeight="1" x14ac:dyDescent="0.2">
      <c r="A711" s="250" t="s">
        <v>124</v>
      </c>
      <c r="B711" s="127" t="s">
        <v>758</v>
      </c>
      <c r="C711" s="127" t="s">
        <v>108</v>
      </c>
      <c r="D711" s="127" t="s">
        <v>861</v>
      </c>
      <c r="E711" s="127" t="s">
        <v>165</v>
      </c>
      <c r="F711" s="128"/>
      <c r="G711" s="128"/>
      <c r="H711" s="128"/>
    </row>
    <row r="712" spans="1:8" ht="71.25" customHeight="1" x14ac:dyDescent="0.2">
      <c r="A712" s="273" t="s">
        <v>538</v>
      </c>
      <c r="B712" s="162" t="s">
        <v>758</v>
      </c>
      <c r="C712" s="162" t="s">
        <v>108</v>
      </c>
      <c r="D712" s="162" t="s">
        <v>862</v>
      </c>
      <c r="E712" s="162" t="s">
        <v>222</v>
      </c>
      <c r="F712" s="148">
        <f>F713+F716</f>
        <v>102.06143</v>
      </c>
      <c r="G712" s="148">
        <f>G713+G716</f>
        <v>0</v>
      </c>
      <c r="H712" s="148">
        <f>H713+H716</f>
        <v>0</v>
      </c>
    </row>
    <row r="713" spans="1:8" ht="99" customHeight="1" x14ac:dyDescent="0.2">
      <c r="A713" s="257" t="s">
        <v>539</v>
      </c>
      <c r="B713" s="133" t="s">
        <v>758</v>
      </c>
      <c r="C713" s="133" t="s">
        <v>108</v>
      </c>
      <c r="D713" s="133" t="s">
        <v>540</v>
      </c>
      <c r="E713" s="133" t="s">
        <v>222</v>
      </c>
      <c r="F713" s="357">
        <f t="shared" ref="F713:H714" si="152">F714</f>
        <v>102.04082</v>
      </c>
      <c r="G713" s="357">
        <f t="shared" si="152"/>
        <v>0</v>
      </c>
      <c r="H713" s="357">
        <f t="shared" si="152"/>
        <v>0</v>
      </c>
    </row>
    <row r="714" spans="1:8" ht="51" customHeight="1" x14ac:dyDescent="0.2">
      <c r="A714" s="257" t="s">
        <v>715</v>
      </c>
      <c r="B714" s="133" t="s">
        <v>758</v>
      </c>
      <c r="C714" s="133" t="s">
        <v>108</v>
      </c>
      <c r="D714" s="133" t="s">
        <v>540</v>
      </c>
      <c r="E714" s="133" t="s">
        <v>714</v>
      </c>
      <c r="F714" s="357">
        <f t="shared" si="152"/>
        <v>102.04082</v>
      </c>
      <c r="G714" s="357">
        <f t="shared" si="152"/>
        <v>0</v>
      </c>
      <c r="H714" s="357">
        <f t="shared" si="152"/>
        <v>0</v>
      </c>
    </row>
    <row r="715" spans="1:8" ht="22.5" customHeight="1" x14ac:dyDescent="0.2">
      <c r="A715" s="257" t="s">
        <v>124</v>
      </c>
      <c r="B715" s="133" t="s">
        <v>758</v>
      </c>
      <c r="C715" s="133" t="s">
        <v>108</v>
      </c>
      <c r="D715" s="133" t="s">
        <v>540</v>
      </c>
      <c r="E715" s="133" t="s">
        <v>165</v>
      </c>
      <c r="F715" s="357">
        <f>'5'!D162</f>
        <v>102.04082</v>
      </c>
      <c r="G715" s="357">
        <f>'5'!E162</f>
        <v>0</v>
      </c>
      <c r="H715" s="357">
        <f>'5'!F162</f>
        <v>0</v>
      </c>
    </row>
    <row r="716" spans="1:8" ht="123" customHeight="1" x14ac:dyDescent="0.2">
      <c r="A716" s="257" t="s">
        <v>541</v>
      </c>
      <c r="B716" s="133" t="s">
        <v>758</v>
      </c>
      <c r="C716" s="133" t="s">
        <v>108</v>
      </c>
      <c r="D716" s="133" t="s">
        <v>540</v>
      </c>
      <c r="E716" s="133" t="s">
        <v>222</v>
      </c>
      <c r="F716" s="357">
        <f t="shared" ref="F716:H717" si="153">F717</f>
        <v>2.061E-2</v>
      </c>
      <c r="G716" s="357">
        <f t="shared" si="153"/>
        <v>0</v>
      </c>
      <c r="H716" s="357">
        <f t="shared" si="153"/>
        <v>0</v>
      </c>
    </row>
    <row r="717" spans="1:8" ht="54.75" customHeight="1" x14ac:dyDescent="0.2">
      <c r="A717" s="257" t="s">
        <v>715</v>
      </c>
      <c r="B717" s="133" t="s">
        <v>758</v>
      </c>
      <c r="C717" s="133" t="s">
        <v>108</v>
      </c>
      <c r="D717" s="133" t="s">
        <v>540</v>
      </c>
      <c r="E717" s="133" t="s">
        <v>714</v>
      </c>
      <c r="F717" s="357">
        <f t="shared" si="153"/>
        <v>2.061E-2</v>
      </c>
      <c r="G717" s="357">
        <f t="shared" si="153"/>
        <v>0</v>
      </c>
      <c r="H717" s="357">
        <f t="shared" si="153"/>
        <v>0</v>
      </c>
    </row>
    <row r="718" spans="1:8" ht="18.600000000000001" customHeight="1" x14ac:dyDescent="0.2">
      <c r="A718" s="257" t="s">
        <v>124</v>
      </c>
      <c r="B718" s="133" t="s">
        <v>758</v>
      </c>
      <c r="C718" s="133" t="s">
        <v>108</v>
      </c>
      <c r="D718" s="133" t="s">
        <v>540</v>
      </c>
      <c r="E718" s="133" t="s">
        <v>165</v>
      </c>
      <c r="F718" s="357">
        <f>'5'!D163</f>
        <v>2.061E-2</v>
      </c>
      <c r="G718" s="357">
        <f>'5'!E163</f>
        <v>0</v>
      </c>
      <c r="H718" s="357">
        <f>'5'!F163</f>
        <v>0</v>
      </c>
    </row>
    <row r="719" spans="1:8" ht="81.75" customHeight="1" x14ac:dyDescent="0.2">
      <c r="A719" s="264" t="s">
        <v>613</v>
      </c>
      <c r="B719" s="162" t="s">
        <v>758</v>
      </c>
      <c r="C719" s="162" t="s">
        <v>108</v>
      </c>
      <c r="D719" s="162" t="s">
        <v>862</v>
      </c>
      <c r="E719" s="162" t="s">
        <v>222</v>
      </c>
      <c r="F719" s="148">
        <f>F720+F723</f>
        <v>51.030719999999995</v>
      </c>
      <c r="G719" s="148">
        <f>G720+G723</f>
        <v>0</v>
      </c>
      <c r="H719" s="148">
        <f>H720+H723</f>
        <v>0</v>
      </c>
    </row>
    <row r="720" spans="1:8" ht="96" customHeight="1" x14ac:dyDescent="0.2">
      <c r="A720" s="250" t="s">
        <v>863</v>
      </c>
      <c r="B720" s="127" t="s">
        <v>758</v>
      </c>
      <c r="C720" s="127" t="s">
        <v>108</v>
      </c>
      <c r="D720" s="127" t="s">
        <v>615</v>
      </c>
      <c r="E720" s="127" t="s">
        <v>222</v>
      </c>
      <c r="F720" s="128">
        <f t="shared" ref="F720:H721" si="154">F721</f>
        <v>51.020409999999998</v>
      </c>
      <c r="G720" s="128">
        <f t="shared" si="154"/>
        <v>0</v>
      </c>
      <c r="H720" s="128">
        <f t="shared" si="154"/>
        <v>0</v>
      </c>
    </row>
    <row r="721" spans="1:8" ht="50.25" customHeight="1" x14ac:dyDescent="0.2">
      <c r="A721" s="250" t="s">
        <v>715</v>
      </c>
      <c r="B721" s="127" t="s">
        <v>758</v>
      </c>
      <c r="C721" s="127" t="s">
        <v>108</v>
      </c>
      <c r="D721" s="127" t="s">
        <v>615</v>
      </c>
      <c r="E721" s="127" t="s">
        <v>714</v>
      </c>
      <c r="F721" s="128">
        <f t="shared" si="154"/>
        <v>51.020409999999998</v>
      </c>
      <c r="G721" s="128">
        <f t="shared" si="154"/>
        <v>0</v>
      </c>
      <c r="H721" s="128">
        <f t="shared" si="154"/>
        <v>0</v>
      </c>
    </row>
    <row r="722" spans="1:8" ht="22.5" customHeight="1" x14ac:dyDescent="0.2">
      <c r="A722" s="250" t="s">
        <v>124</v>
      </c>
      <c r="B722" s="127" t="s">
        <v>758</v>
      </c>
      <c r="C722" s="127" t="s">
        <v>108</v>
      </c>
      <c r="D722" s="133" t="s">
        <v>615</v>
      </c>
      <c r="E722" s="127" t="s">
        <v>165</v>
      </c>
      <c r="F722" s="128">
        <f>'5'!D165</f>
        <v>51.020409999999998</v>
      </c>
      <c r="G722" s="128">
        <f>'5'!E165</f>
        <v>0</v>
      </c>
      <c r="H722" s="128">
        <f>'5'!F165</f>
        <v>0</v>
      </c>
    </row>
    <row r="723" spans="1:8" ht="120.75" customHeight="1" x14ac:dyDescent="0.2">
      <c r="A723" s="257" t="s">
        <v>864</v>
      </c>
      <c r="B723" s="133" t="s">
        <v>758</v>
      </c>
      <c r="C723" s="133" t="s">
        <v>108</v>
      </c>
      <c r="D723" s="133" t="s">
        <v>615</v>
      </c>
      <c r="E723" s="133" t="s">
        <v>222</v>
      </c>
      <c r="F723" s="357">
        <f t="shared" ref="F723:H724" si="155">F724</f>
        <v>1.031E-2</v>
      </c>
      <c r="G723" s="357">
        <f t="shared" si="155"/>
        <v>0</v>
      </c>
      <c r="H723" s="357">
        <f t="shared" si="155"/>
        <v>0</v>
      </c>
    </row>
    <row r="724" spans="1:8" ht="51.75" customHeight="1" x14ac:dyDescent="0.2">
      <c r="A724" s="250" t="s">
        <v>715</v>
      </c>
      <c r="B724" s="127" t="s">
        <v>758</v>
      </c>
      <c r="C724" s="127" t="s">
        <v>108</v>
      </c>
      <c r="D724" s="127" t="s">
        <v>615</v>
      </c>
      <c r="E724" s="127" t="s">
        <v>714</v>
      </c>
      <c r="F724" s="128">
        <f t="shared" si="155"/>
        <v>1.031E-2</v>
      </c>
      <c r="G724" s="128">
        <f t="shared" si="155"/>
        <v>0</v>
      </c>
      <c r="H724" s="128">
        <f t="shared" si="155"/>
        <v>0</v>
      </c>
    </row>
    <row r="725" spans="1:8" ht="21" customHeight="1" x14ac:dyDescent="0.2">
      <c r="A725" s="250" t="s">
        <v>124</v>
      </c>
      <c r="B725" s="127" t="s">
        <v>758</v>
      </c>
      <c r="C725" s="127" t="s">
        <v>108</v>
      </c>
      <c r="D725" s="133" t="s">
        <v>615</v>
      </c>
      <c r="E725" s="127" t="s">
        <v>165</v>
      </c>
      <c r="F725" s="128">
        <f>'5'!D166</f>
        <v>1.031E-2</v>
      </c>
      <c r="G725" s="128">
        <f>'5'!E166</f>
        <v>0</v>
      </c>
      <c r="H725" s="128">
        <f>'5'!F166</f>
        <v>0</v>
      </c>
    </row>
    <row r="726" spans="1:8" ht="124.5" customHeight="1" x14ac:dyDescent="0.2">
      <c r="A726" s="259" t="s">
        <v>294</v>
      </c>
      <c r="B726" s="127" t="s">
        <v>758</v>
      </c>
      <c r="C726" s="127" t="s">
        <v>108</v>
      </c>
      <c r="D726" s="127" t="s">
        <v>63</v>
      </c>
      <c r="E726" s="127" t="s">
        <v>222</v>
      </c>
      <c r="F726" s="128">
        <f t="shared" ref="F726:H727" si="156">F727</f>
        <v>2879.8999999999996</v>
      </c>
      <c r="G726" s="128">
        <f t="shared" si="156"/>
        <v>1949.5</v>
      </c>
      <c r="H726" s="128">
        <f t="shared" si="156"/>
        <v>1949.5</v>
      </c>
    </row>
    <row r="727" spans="1:8" ht="52.9" customHeight="1" x14ac:dyDescent="0.2">
      <c r="A727" s="250" t="s">
        <v>715</v>
      </c>
      <c r="B727" s="127" t="s">
        <v>758</v>
      </c>
      <c r="C727" s="127" t="s">
        <v>108</v>
      </c>
      <c r="D727" s="127" t="s">
        <v>63</v>
      </c>
      <c r="E727" s="127" t="s">
        <v>714</v>
      </c>
      <c r="F727" s="128">
        <f t="shared" si="156"/>
        <v>2879.8999999999996</v>
      </c>
      <c r="G727" s="128">
        <f t="shared" si="156"/>
        <v>1949.5</v>
      </c>
      <c r="H727" s="128">
        <f t="shared" si="156"/>
        <v>1949.5</v>
      </c>
    </row>
    <row r="728" spans="1:8" ht="16.5" customHeight="1" x14ac:dyDescent="0.2">
      <c r="A728" s="250" t="s">
        <v>124</v>
      </c>
      <c r="B728" s="127" t="s">
        <v>758</v>
      </c>
      <c r="C728" s="127" t="s">
        <v>108</v>
      </c>
      <c r="D728" s="127" t="s">
        <v>63</v>
      </c>
      <c r="E728" s="127" t="s">
        <v>165</v>
      </c>
      <c r="F728" s="357">
        <f>'5'!D176</f>
        <v>2879.8999999999996</v>
      </c>
      <c r="G728" s="357">
        <f>'5'!E176</f>
        <v>1949.5</v>
      </c>
      <c r="H728" s="357">
        <f>'5'!F176</f>
        <v>1949.5</v>
      </c>
    </row>
    <row r="729" spans="1:8" s="142" customFormat="1" ht="34.5" customHeight="1" x14ac:dyDescent="0.2">
      <c r="A729" s="249" t="s">
        <v>865</v>
      </c>
      <c r="B729" s="122" t="s">
        <v>758</v>
      </c>
      <c r="C729" s="122" t="s">
        <v>113</v>
      </c>
      <c r="D729" s="122" t="s">
        <v>666</v>
      </c>
      <c r="E729" s="122" t="s">
        <v>222</v>
      </c>
      <c r="F729" s="123">
        <f>F730+F754+F759+F762+F757</f>
        <v>3458.0109000000002</v>
      </c>
      <c r="G729" s="123">
        <f>G730+G754+G759+G762+G757</f>
        <v>1471.2</v>
      </c>
      <c r="H729" s="123">
        <f>H730+H754+H759+H762+H757</f>
        <v>1471.2</v>
      </c>
    </row>
    <row r="730" spans="1:8" ht="57" customHeight="1" x14ac:dyDescent="0.2">
      <c r="A730" s="251" t="s">
        <v>850</v>
      </c>
      <c r="B730" s="8" t="s">
        <v>758</v>
      </c>
      <c r="C730" s="8" t="s">
        <v>113</v>
      </c>
      <c r="D730" s="8" t="s">
        <v>58</v>
      </c>
      <c r="E730" s="8" t="s">
        <v>222</v>
      </c>
      <c r="F730" s="129">
        <f>F731+F734+F748+F751+F741</f>
        <v>2920.2959000000001</v>
      </c>
      <c r="G730" s="129">
        <f>G731+G734+G748+G751+G741</f>
        <v>1347.2</v>
      </c>
      <c r="H730" s="129">
        <f>H731+H734+H748+H751+H741</f>
        <v>1347.2</v>
      </c>
    </row>
    <row r="731" spans="1:8" ht="55.5" customHeight="1" x14ac:dyDescent="0.2">
      <c r="A731" s="259" t="s">
        <v>866</v>
      </c>
      <c r="B731" s="127" t="s">
        <v>758</v>
      </c>
      <c r="C731" s="127" t="s">
        <v>113</v>
      </c>
      <c r="D731" s="127" t="s">
        <v>64</v>
      </c>
      <c r="E731" s="127" t="s">
        <v>222</v>
      </c>
      <c r="F731" s="128">
        <f t="shared" ref="F731:H732" si="157">F732</f>
        <v>2198.1999999999998</v>
      </c>
      <c r="G731" s="128">
        <f t="shared" si="157"/>
        <v>1347.2</v>
      </c>
      <c r="H731" s="128">
        <f t="shared" si="157"/>
        <v>1347.2</v>
      </c>
    </row>
    <row r="732" spans="1:8" ht="50.25" customHeight="1" x14ac:dyDescent="0.2">
      <c r="A732" s="250" t="s">
        <v>715</v>
      </c>
      <c r="B732" s="127" t="s">
        <v>758</v>
      </c>
      <c r="C732" s="127" t="s">
        <v>113</v>
      </c>
      <c r="D732" s="127" t="s">
        <v>64</v>
      </c>
      <c r="E732" s="127" t="s">
        <v>714</v>
      </c>
      <c r="F732" s="128">
        <f t="shared" si="157"/>
        <v>2198.1999999999998</v>
      </c>
      <c r="G732" s="128">
        <f t="shared" si="157"/>
        <v>1347.2</v>
      </c>
      <c r="H732" s="128">
        <f t="shared" si="157"/>
        <v>1347.2</v>
      </c>
    </row>
    <row r="733" spans="1:8" ht="24.75" customHeight="1" x14ac:dyDescent="0.2">
      <c r="A733" s="250" t="s">
        <v>124</v>
      </c>
      <c r="B733" s="127" t="s">
        <v>758</v>
      </c>
      <c r="C733" s="127" t="s">
        <v>113</v>
      </c>
      <c r="D733" s="127" t="s">
        <v>64</v>
      </c>
      <c r="E733" s="127" t="s">
        <v>165</v>
      </c>
      <c r="F733" s="357">
        <f>'5'!D181</f>
        <v>2198.1999999999998</v>
      </c>
      <c r="G733" s="357">
        <f>'5'!E181</f>
        <v>1347.2</v>
      </c>
      <c r="H733" s="357">
        <f>'5'!F181</f>
        <v>1347.2</v>
      </c>
    </row>
    <row r="734" spans="1:8" ht="51.6" hidden="1" customHeight="1" x14ac:dyDescent="0.2">
      <c r="A734" s="252" t="s">
        <v>462</v>
      </c>
      <c r="B734" s="127" t="s">
        <v>758</v>
      </c>
      <c r="C734" s="127" t="s">
        <v>113</v>
      </c>
      <c r="D734" s="145" t="s">
        <v>59</v>
      </c>
      <c r="E734" s="145" t="s">
        <v>222</v>
      </c>
      <c r="F734" s="146">
        <f>F735</f>
        <v>0</v>
      </c>
      <c r="G734" s="146">
        <f t="shared" ref="G734:H736" si="158">G735</f>
        <v>0</v>
      </c>
      <c r="H734" s="146">
        <f t="shared" si="158"/>
        <v>0</v>
      </c>
    </row>
    <row r="735" spans="1:8" ht="66.599999999999994" hidden="1" customHeight="1" x14ac:dyDescent="0.2">
      <c r="A735" s="250" t="s">
        <v>463</v>
      </c>
      <c r="B735" s="127" t="s">
        <v>758</v>
      </c>
      <c r="C735" s="127" t="s">
        <v>113</v>
      </c>
      <c r="D735" s="127" t="s">
        <v>465</v>
      </c>
      <c r="E735" s="127" t="s">
        <v>222</v>
      </c>
      <c r="F735" s="128">
        <f>F736</f>
        <v>0</v>
      </c>
      <c r="G735" s="128">
        <f t="shared" si="158"/>
        <v>0</v>
      </c>
      <c r="H735" s="128">
        <f t="shared" si="158"/>
        <v>0</v>
      </c>
    </row>
    <row r="736" spans="1:8" ht="49.15" hidden="1" customHeight="1" x14ac:dyDescent="0.2">
      <c r="A736" s="250" t="s">
        <v>715</v>
      </c>
      <c r="B736" s="127" t="s">
        <v>758</v>
      </c>
      <c r="C736" s="127" t="s">
        <v>113</v>
      </c>
      <c r="D736" s="127" t="s">
        <v>465</v>
      </c>
      <c r="E736" s="127" t="s">
        <v>714</v>
      </c>
      <c r="F736" s="128">
        <f>F737</f>
        <v>0</v>
      </c>
      <c r="G736" s="128">
        <f t="shared" si="158"/>
        <v>0</v>
      </c>
      <c r="H736" s="128">
        <f t="shared" si="158"/>
        <v>0</v>
      </c>
    </row>
    <row r="737" spans="1:8" ht="22.9" hidden="1" customHeight="1" x14ac:dyDescent="0.2">
      <c r="A737" s="250" t="s">
        <v>124</v>
      </c>
      <c r="B737" s="127" t="s">
        <v>758</v>
      </c>
      <c r="C737" s="127" t="s">
        <v>113</v>
      </c>
      <c r="D737" s="127" t="s">
        <v>465</v>
      </c>
      <c r="E737" s="127" t="s">
        <v>165</v>
      </c>
      <c r="F737" s="128"/>
      <c r="G737" s="128"/>
      <c r="H737" s="128"/>
    </row>
    <row r="738" spans="1:8" ht="84.6" hidden="1" customHeight="1" x14ac:dyDescent="0.2">
      <c r="A738" s="250" t="s">
        <v>464</v>
      </c>
      <c r="B738" s="127" t="s">
        <v>758</v>
      </c>
      <c r="C738" s="127" t="s">
        <v>113</v>
      </c>
      <c r="D738" s="127" t="s">
        <v>466</v>
      </c>
      <c r="E738" s="127" t="s">
        <v>222</v>
      </c>
      <c r="F738" s="128">
        <f t="shared" ref="F738:H739" si="159">F739</f>
        <v>0</v>
      </c>
      <c r="G738" s="128">
        <f t="shared" si="159"/>
        <v>0</v>
      </c>
      <c r="H738" s="128">
        <f t="shared" si="159"/>
        <v>0</v>
      </c>
    </row>
    <row r="739" spans="1:8" ht="51" hidden="1" customHeight="1" x14ac:dyDescent="0.2">
      <c r="A739" s="250" t="s">
        <v>715</v>
      </c>
      <c r="B739" s="127" t="s">
        <v>758</v>
      </c>
      <c r="C739" s="127" t="s">
        <v>113</v>
      </c>
      <c r="D739" s="127" t="s">
        <v>466</v>
      </c>
      <c r="E739" s="127" t="s">
        <v>714</v>
      </c>
      <c r="F739" s="128">
        <f t="shared" si="159"/>
        <v>0</v>
      </c>
      <c r="G739" s="128">
        <f t="shared" si="159"/>
        <v>0</v>
      </c>
      <c r="H739" s="128">
        <f t="shared" si="159"/>
        <v>0</v>
      </c>
    </row>
    <row r="740" spans="1:8" ht="19.149999999999999" hidden="1" customHeight="1" x14ac:dyDescent="0.2">
      <c r="A740" s="250" t="s">
        <v>124</v>
      </c>
      <c r="B740" s="127" t="s">
        <v>758</v>
      </c>
      <c r="C740" s="127" t="s">
        <v>113</v>
      </c>
      <c r="D740" s="127" t="s">
        <v>466</v>
      </c>
      <c r="E740" s="127" t="s">
        <v>165</v>
      </c>
      <c r="F740" s="128"/>
      <c r="G740" s="128"/>
      <c r="H740" s="128"/>
    </row>
    <row r="741" spans="1:8" ht="99" customHeight="1" x14ac:dyDescent="0.2">
      <c r="A741" s="252" t="s">
        <v>584</v>
      </c>
      <c r="B741" s="145" t="s">
        <v>758</v>
      </c>
      <c r="C741" s="145" t="s">
        <v>113</v>
      </c>
      <c r="D741" s="145" t="s">
        <v>867</v>
      </c>
      <c r="E741" s="145" t="s">
        <v>222</v>
      </c>
      <c r="F741" s="146">
        <f>F742+F745</f>
        <v>722.09590000000003</v>
      </c>
      <c r="G741" s="146">
        <f>G742+G745</f>
        <v>0</v>
      </c>
      <c r="H741" s="146">
        <f>H742+H745</f>
        <v>0</v>
      </c>
    </row>
    <row r="742" spans="1:8" ht="97.9" hidden="1" customHeight="1" x14ac:dyDescent="0.2">
      <c r="A742" s="250" t="s">
        <v>508</v>
      </c>
      <c r="B742" s="127" t="s">
        <v>758</v>
      </c>
      <c r="C742" s="127" t="s">
        <v>113</v>
      </c>
      <c r="D742" s="133" t="s">
        <v>552</v>
      </c>
      <c r="E742" s="127" t="s">
        <v>222</v>
      </c>
      <c r="F742" s="357">
        <f t="shared" ref="F742:H743" si="160">F743</f>
        <v>0</v>
      </c>
      <c r="G742" s="128">
        <f t="shared" si="160"/>
        <v>0</v>
      </c>
      <c r="H742" s="128">
        <f t="shared" si="160"/>
        <v>0</v>
      </c>
    </row>
    <row r="743" spans="1:8" ht="49.9" hidden="1" customHeight="1" x14ac:dyDescent="0.2">
      <c r="A743" s="250" t="s">
        <v>715</v>
      </c>
      <c r="B743" s="127" t="s">
        <v>758</v>
      </c>
      <c r="C743" s="127" t="s">
        <v>113</v>
      </c>
      <c r="D743" s="133" t="s">
        <v>552</v>
      </c>
      <c r="E743" s="127" t="s">
        <v>714</v>
      </c>
      <c r="F743" s="357">
        <f t="shared" si="160"/>
        <v>0</v>
      </c>
      <c r="G743" s="128">
        <f t="shared" si="160"/>
        <v>0</v>
      </c>
      <c r="H743" s="128">
        <f t="shared" si="160"/>
        <v>0</v>
      </c>
    </row>
    <row r="744" spans="1:8" ht="24.6" hidden="1" customHeight="1" x14ac:dyDescent="0.2">
      <c r="A744" s="250" t="s">
        <v>124</v>
      </c>
      <c r="B744" s="127" t="s">
        <v>758</v>
      </c>
      <c r="C744" s="127" t="s">
        <v>113</v>
      </c>
      <c r="D744" s="133" t="s">
        <v>552</v>
      </c>
      <c r="E744" s="127" t="s">
        <v>165</v>
      </c>
      <c r="F744" s="357">
        <f>'5'!D195</f>
        <v>0</v>
      </c>
      <c r="G744" s="128">
        <f>'5'!E195</f>
        <v>0</v>
      </c>
      <c r="H744" s="128">
        <f>'5'!F195</f>
        <v>0</v>
      </c>
    </row>
    <row r="745" spans="1:8" ht="116.25" customHeight="1" x14ac:dyDescent="0.2">
      <c r="A745" s="250" t="s">
        <v>553</v>
      </c>
      <c r="B745" s="127" t="s">
        <v>758</v>
      </c>
      <c r="C745" s="127" t="s">
        <v>113</v>
      </c>
      <c r="D745" s="133" t="s">
        <v>555</v>
      </c>
      <c r="E745" s="127" t="s">
        <v>222</v>
      </c>
      <c r="F745" s="243">
        <f t="shared" ref="F745:H746" si="161">F746</f>
        <v>722.09590000000003</v>
      </c>
      <c r="G745" s="163">
        <f t="shared" si="161"/>
        <v>0</v>
      </c>
      <c r="H745" s="163">
        <f t="shared" si="161"/>
        <v>0</v>
      </c>
    </row>
    <row r="746" spans="1:8" ht="51" customHeight="1" x14ac:dyDescent="0.2">
      <c r="A746" s="250" t="s">
        <v>715</v>
      </c>
      <c r="B746" s="127" t="s">
        <v>758</v>
      </c>
      <c r="C746" s="127" t="s">
        <v>113</v>
      </c>
      <c r="D746" s="133" t="s">
        <v>555</v>
      </c>
      <c r="E746" s="127" t="s">
        <v>714</v>
      </c>
      <c r="F746" s="243">
        <f t="shared" si="161"/>
        <v>722.09590000000003</v>
      </c>
      <c r="G746" s="163">
        <f t="shared" si="161"/>
        <v>0</v>
      </c>
      <c r="H746" s="163">
        <f t="shared" si="161"/>
        <v>0</v>
      </c>
    </row>
    <row r="747" spans="1:8" ht="16.899999999999999" customHeight="1" x14ac:dyDescent="0.2">
      <c r="A747" s="250" t="s">
        <v>124</v>
      </c>
      <c r="B747" s="127" t="s">
        <v>758</v>
      </c>
      <c r="C747" s="127" t="s">
        <v>113</v>
      </c>
      <c r="D747" s="133" t="s">
        <v>555</v>
      </c>
      <c r="E747" s="127" t="s">
        <v>165</v>
      </c>
      <c r="F747" s="243">
        <f>'5'!D196</f>
        <v>722.09590000000003</v>
      </c>
      <c r="G747" s="163">
        <f>'5'!E196</f>
        <v>0</v>
      </c>
      <c r="H747" s="163">
        <f>'5'!F196</f>
        <v>0</v>
      </c>
    </row>
    <row r="748" spans="1:8" ht="40.9" hidden="1" customHeight="1" x14ac:dyDescent="0.2">
      <c r="A748" s="259" t="s">
        <v>868</v>
      </c>
      <c r="B748" s="127" t="s">
        <v>758</v>
      </c>
      <c r="C748" s="127" t="s">
        <v>113</v>
      </c>
      <c r="D748" s="127" t="s">
        <v>488</v>
      </c>
      <c r="E748" s="127" t="s">
        <v>222</v>
      </c>
      <c r="F748" s="357">
        <f t="shared" ref="F748:H749" si="162">F749</f>
        <v>0</v>
      </c>
      <c r="G748" s="128">
        <f t="shared" si="162"/>
        <v>0</v>
      </c>
      <c r="H748" s="128">
        <f t="shared" si="162"/>
        <v>0</v>
      </c>
    </row>
    <row r="749" spans="1:8" ht="49.15" hidden="1" customHeight="1" x14ac:dyDescent="0.2">
      <c r="A749" s="250" t="s">
        <v>715</v>
      </c>
      <c r="B749" s="127" t="s">
        <v>758</v>
      </c>
      <c r="C749" s="127" t="s">
        <v>113</v>
      </c>
      <c r="D749" s="127" t="s">
        <v>488</v>
      </c>
      <c r="E749" s="127" t="s">
        <v>714</v>
      </c>
      <c r="F749" s="357">
        <f t="shared" si="162"/>
        <v>0</v>
      </c>
      <c r="G749" s="128">
        <f t="shared" si="162"/>
        <v>0</v>
      </c>
      <c r="H749" s="128">
        <f t="shared" si="162"/>
        <v>0</v>
      </c>
    </row>
    <row r="750" spans="1:8" ht="24" hidden="1" customHeight="1" x14ac:dyDescent="0.2">
      <c r="A750" s="250" t="s">
        <v>124</v>
      </c>
      <c r="B750" s="127" t="s">
        <v>758</v>
      </c>
      <c r="C750" s="127" t="s">
        <v>113</v>
      </c>
      <c r="D750" s="127" t="s">
        <v>488</v>
      </c>
      <c r="E750" s="127" t="s">
        <v>165</v>
      </c>
      <c r="F750" s="357"/>
      <c r="G750" s="128"/>
      <c r="H750" s="128"/>
    </row>
    <row r="751" spans="1:8" ht="34.5" hidden="1" customHeight="1" x14ac:dyDescent="0.2">
      <c r="A751" s="259" t="s">
        <v>818</v>
      </c>
      <c r="B751" s="127" t="s">
        <v>758</v>
      </c>
      <c r="C751" s="127" t="s">
        <v>113</v>
      </c>
      <c r="D751" s="127" t="s">
        <v>489</v>
      </c>
      <c r="E751" s="127" t="s">
        <v>222</v>
      </c>
      <c r="F751" s="357">
        <f t="shared" ref="F751:H752" si="163">F752</f>
        <v>0</v>
      </c>
      <c r="G751" s="128">
        <f t="shared" si="163"/>
        <v>0</v>
      </c>
      <c r="H751" s="128">
        <f t="shared" si="163"/>
        <v>0</v>
      </c>
    </row>
    <row r="752" spans="1:8" ht="52.15" hidden="1" customHeight="1" x14ac:dyDescent="0.2">
      <c r="A752" s="250" t="s">
        <v>715</v>
      </c>
      <c r="B752" s="127" t="s">
        <v>758</v>
      </c>
      <c r="C752" s="127" t="s">
        <v>113</v>
      </c>
      <c r="D752" s="127" t="s">
        <v>489</v>
      </c>
      <c r="E752" s="127" t="s">
        <v>714</v>
      </c>
      <c r="F752" s="357">
        <f t="shared" si="163"/>
        <v>0</v>
      </c>
      <c r="G752" s="128">
        <f t="shared" si="163"/>
        <v>0</v>
      </c>
      <c r="H752" s="128">
        <f t="shared" si="163"/>
        <v>0</v>
      </c>
    </row>
    <row r="753" spans="1:8" ht="19.149999999999999" hidden="1" customHeight="1" x14ac:dyDescent="0.2">
      <c r="A753" s="250" t="s">
        <v>124</v>
      </c>
      <c r="B753" s="127" t="s">
        <v>758</v>
      </c>
      <c r="C753" s="127" t="s">
        <v>113</v>
      </c>
      <c r="D753" s="127" t="s">
        <v>489</v>
      </c>
      <c r="E753" s="127" t="s">
        <v>165</v>
      </c>
      <c r="F753" s="357"/>
      <c r="G753" s="128"/>
      <c r="H753" s="128"/>
    </row>
    <row r="754" spans="1:8" s="130" customFormat="1" ht="52.9" customHeight="1" x14ac:dyDescent="0.2">
      <c r="A754" s="251" t="s">
        <v>724</v>
      </c>
      <c r="B754" s="8" t="s">
        <v>758</v>
      </c>
      <c r="C754" s="8" t="s">
        <v>113</v>
      </c>
      <c r="D754" s="8" t="s">
        <v>22</v>
      </c>
      <c r="E754" s="8" t="s">
        <v>222</v>
      </c>
      <c r="F754" s="131">
        <f t="shared" ref="F754:H755" si="164">F755</f>
        <v>39</v>
      </c>
      <c r="G754" s="129">
        <f t="shared" si="164"/>
        <v>39</v>
      </c>
      <c r="H754" s="129">
        <f t="shared" si="164"/>
        <v>39</v>
      </c>
    </row>
    <row r="755" spans="1:8" ht="37.9" customHeight="1" x14ac:dyDescent="0.2">
      <c r="A755" s="259" t="s">
        <v>869</v>
      </c>
      <c r="B755" s="127" t="s">
        <v>758</v>
      </c>
      <c r="C755" s="127" t="s">
        <v>113</v>
      </c>
      <c r="D755" s="127" t="s">
        <v>23</v>
      </c>
      <c r="E755" s="127" t="s">
        <v>222</v>
      </c>
      <c r="F755" s="357">
        <f t="shared" si="164"/>
        <v>39</v>
      </c>
      <c r="G755" s="128">
        <f t="shared" si="164"/>
        <v>39</v>
      </c>
      <c r="H755" s="128">
        <f t="shared" si="164"/>
        <v>39</v>
      </c>
    </row>
    <row r="756" spans="1:8" ht="17.25" customHeight="1" x14ac:dyDescent="0.2">
      <c r="A756" s="250" t="s">
        <v>124</v>
      </c>
      <c r="B756" s="127" t="s">
        <v>758</v>
      </c>
      <c r="C756" s="127" t="s">
        <v>113</v>
      </c>
      <c r="D756" s="127" t="s">
        <v>65</v>
      </c>
      <c r="E756" s="127" t="s">
        <v>165</v>
      </c>
      <c r="F756" s="357">
        <f>'5'!D98</f>
        <v>39</v>
      </c>
      <c r="G756" s="128">
        <f>'5'!E98</f>
        <v>39</v>
      </c>
      <c r="H756" s="128">
        <f>'5'!F98</f>
        <v>39</v>
      </c>
    </row>
    <row r="757" spans="1:8" s="130" customFormat="1" ht="64.5" customHeight="1" x14ac:dyDescent="0.2">
      <c r="A757" s="251" t="s">
        <v>558</v>
      </c>
      <c r="B757" s="8" t="s">
        <v>758</v>
      </c>
      <c r="C757" s="8" t="s">
        <v>113</v>
      </c>
      <c r="D757" s="8" t="s">
        <v>54</v>
      </c>
      <c r="E757" s="8" t="s">
        <v>222</v>
      </c>
      <c r="F757" s="131">
        <f>F758</f>
        <v>5</v>
      </c>
      <c r="G757" s="129">
        <f>G758</f>
        <v>5</v>
      </c>
      <c r="H757" s="129">
        <f>H758</f>
        <v>5</v>
      </c>
    </row>
    <row r="758" spans="1:8" s="143" customFormat="1" ht="33.75" customHeight="1" x14ac:dyDescent="0.25">
      <c r="A758" s="250" t="s">
        <v>201</v>
      </c>
      <c r="B758" s="127" t="s">
        <v>758</v>
      </c>
      <c r="C758" s="127" t="s">
        <v>113</v>
      </c>
      <c r="D758" s="127" t="s">
        <v>66</v>
      </c>
      <c r="E758" s="127" t="s">
        <v>165</v>
      </c>
      <c r="F758" s="128">
        <f>'5'!D111</f>
        <v>5</v>
      </c>
      <c r="G758" s="128">
        <f>'5'!E111</f>
        <v>5</v>
      </c>
      <c r="H758" s="128">
        <f>'5'!F111</f>
        <v>5</v>
      </c>
    </row>
    <row r="759" spans="1:8" s="143" customFormat="1" ht="62.25" customHeight="1" x14ac:dyDescent="0.25">
      <c r="A759" s="256" t="s">
        <v>596</v>
      </c>
      <c r="B759" s="147" t="s">
        <v>758</v>
      </c>
      <c r="C759" s="147" t="s">
        <v>113</v>
      </c>
      <c r="D759" s="147" t="s">
        <v>28</v>
      </c>
      <c r="E759" s="147" t="s">
        <v>222</v>
      </c>
      <c r="F759" s="131">
        <f t="shared" ref="F759:H760" si="165">F760</f>
        <v>198</v>
      </c>
      <c r="G759" s="131">
        <f t="shared" si="165"/>
        <v>60</v>
      </c>
      <c r="H759" s="131">
        <f t="shared" si="165"/>
        <v>60</v>
      </c>
    </row>
    <row r="760" spans="1:8" ht="51" customHeight="1" x14ac:dyDescent="0.2">
      <c r="A760" s="257" t="s">
        <v>715</v>
      </c>
      <c r="B760" s="133" t="s">
        <v>758</v>
      </c>
      <c r="C760" s="133" t="s">
        <v>113</v>
      </c>
      <c r="D760" s="153" t="s">
        <v>380</v>
      </c>
      <c r="E760" s="133" t="s">
        <v>714</v>
      </c>
      <c r="F760" s="357">
        <f t="shared" si="165"/>
        <v>198</v>
      </c>
      <c r="G760" s="357">
        <f t="shared" si="165"/>
        <v>60</v>
      </c>
      <c r="H760" s="357">
        <f t="shared" si="165"/>
        <v>60</v>
      </c>
    </row>
    <row r="761" spans="1:8" ht="35.25" customHeight="1" x14ac:dyDescent="0.2">
      <c r="A761" s="257" t="s">
        <v>201</v>
      </c>
      <c r="B761" s="133" t="s">
        <v>758</v>
      </c>
      <c r="C761" s="133" t="s">
        <v>113</v>
      </c>
      <c r="D761" s="153" t="s">
        <v>380</v>
      </c>
      <c r="E761" s="133" t="s">
        <v>165</v>
      </c>
      <c r="F761" s="357">
        <f>'5'!D119</f>
        <v>198</v>
      </c>
      <c r="G761" s="357">
        <f>'5'!E119</f>
        <v>60</v>
      </c>
      <c r="H761" s="357">
        <f>'5'!F119</f>
        <v>60</v>
      </c>
    </row>
    <row r="762" spans="1:8" ht="82.5" customHeight="1" x14ac:dyDescent="0.2">
      <c r="A762" s="251" t="s">
        <v>779</v>
      </c>
      <c r="B762" s="8" t="s">
        <v>758</v>
      </c>
      <c r="C762" s="8" t="s">
        <v>113</v>
      </c>
      <c r="D762" s="8" t="s">
        <v>284</v>
      </c>
      <c r="E762" s="8" t="s">
        <v>222</v>
      </c>
      <c r="F762" s="129">
        <f t="shared" ref="F762:H763" si="166">F763</f>
        <v>295.71499999999997</v>
      </c>
      <c r="G762" s="129">
        <f t="shared" si="166"/>
        <v>20</v>
      </c>
      <c r="H762" s="129">
        <f t="shared" si="166"/>
        <v>20</v>
      </c>
    </row>
    <row r="763" spans="1:8" ht="49.9" customHeight="1" x14ac:dyDescent="0.2">
      <c r="A763" s="250" t="s">
        <v>715</v>
      </c>
      <c r="B763" s="127" t="s">
        <v>758</v>
      </c>
      <c r="C763" s="127" t="s">
        <v>113</v>
      </c>
      <c r="D763" s="127" t="s">
        <v>443</v>
      </c>
      <c r="E763" s="127" t="s">
        <v>714</v>
      </c>
      <c r="F763" s="128">
        <f t="shared" si="166"/>
        <v>295.71499999999997</v>
      </c>
      <c r="G763" s="128">
        <f t="shared" si="166"/>
        <v>20</v>
      </c>
      <c r="H763" s="128">
        <f t="shared" si="166"/>
        <v>20</v>
      </c>
    </row>
    <row r="764" spans="1:8" ht="24.6" customHeight="1" x14ac:dyDescent="0.2">
      <c r="A764" s="250" t="s">
        <v>124</v>
      </c>
      <c r="B764" s="127" t="s">
        <v>758</v>
      </c>
      <c r="C764" s="127" t="s">
        <v>113</v>
      </c>
      <c r="D764" s="127" t="s">
        <v>443</v>
      </c>
      <c r="E764" s="127" t="s">
        <v>165</v>
      </c>
      <c r="F764" s="128">
        <f>'5'!D213</f>
        <v>295.71499999999997</v>
      </c>
      <c r="G764" s="128">
        <f>'5'!E213</f>
        <v>20</v>
      </c>
      <c r="H764" s="128">
        <f>'5'!F213</f>
        <v>20</v>
      </c>
    </row>
    <row r="765" spans="1:8" ht="51" hidden="1" customHeight="1" x14ac:dyDescent="0.2">
      <c r="A765" s="251" t="s">
        <v>870</v>
      </c>
      <c r="B765" s="8" t="s">
        <v>758</v>
      </c>
      <c r="C765" s="8" t="s">
        <v>113</v>
      </c>
      <c r="D765" s="8" t="s">
        <v>58</v>
      </c>
      <c r="E765" s="8" t="s">
        <v>222</v>
      </c>
      <c r="F765" s="129">
        <f>F766</f>
        <v>0</v>
      </c>
      <c r="G765" s="129">
        <f>G766</f>
        <v>0</v>
      </c>
      <c r="H765" s="129">
        <f>H766</f>
        <v>0</v>
      </c>
    </row>
    <row r="766" spans="1:8" ht="71.650000000000006" hidden="1" customHeight="1" x14ac:dyDescent="0.2">
      <c r="A766" s="259" t="s">
        <v>295</v>
      </c>
      <c r="B766" s="127" t="s">
        <v>758</v>
      </c>
      <c r="C766" s="127" t="s">
        <v>113</v>
      </c>
      <c r="D766" s="127" t="s">
        <v>265</v>
      </c>
      <c r="E766" s="127" t="s">
        <v>222</v>
      </c>
      <c r="F766" s="128">
        <f>F767+F769</f>
        <v>0</v>
      </c>
      <c r="G766" s="128">
        <f>G767+G769</f>
        <v>0</v>
      </c>
      <c r="H766" s="128">
        <f>H767+H769</f>
        <v>0</v>
      </c>
    </row>
    <row r="767" spans="1:8" ht="44.25" hidden="1" customHeight="1" x14ac:dyDescent="0.2">
      <c r="A767" s="250" t="s">
        <v>670</v>
      </c>
      <c r="B767" s="127" t="s">
        <v>758</v>
      </c>
      <c r="C767" s="127" t="s">
        <v>113</v>
      </c>
      <c r="D767" s="127" t="s">
        <v>265</v>
      </c>
      <c r="E767" s="127" t="s">
        <v>671</v>
      </c>
      <c r="F767" s="128">
        <f>F768</f>
        <v>0</v>
      </c>
      <c r="G767" s="128">
        <f>G768</f>
        <v>0</v>
      </c>
      <c r="H767" s="128">
        <f>H768</f>
        <v>0</v>
      </c>
    </row>
    <row r="768" spans="1:8" ht="33" hidden="1" customHeight="1" x14ac:dyDescent="0.2">
      <c r="A768" s="250" t="s">
        <v>841</v>
      </c>
      <c r="B768" s="127" t="s">
        <v>758</v>
      </c>
      <c r="C768" s="127" t="s">
        <v>113</v>
      </c>
      <c r="D768" s="127" t="s">
        <v>265</v>
      </c>
      <c r="E768" s="127" t="s">
        <v>842</v>
      </c>
      <c r="F768" s="128"/>
      <c r="G768" s="128"/>
      <c r="H768" s="128"/>
    </row>
    <row r="769" spans="1:8" ht="39.75" hidden="1" customHeight="1" x14ac:dyDescent="0.2">
      <c r="A769" s="250" t="s">
        <v>676</v>
      </c>
      <c r="B769" s="127" t="s">
        <v>758</v>
      </c>
      <c r="C769" s="127" t="s">
        <v>113</v>
      </c>
      <c r="D769" s="127" t="s">
        <v>265</v>
      </c>
      <c r="E769" s="127" t="s">
        <v>677</v>
      </c>
      <c r="F769" s="128">
        <f>F770</f>
        <v>0</v>
      </c>
      <c r="G769" s="128">
        <f>G770</f>
        <v>0</v>
      </c>
      <c r="H769" s="128">
        <f>H770</f>
        <v>0</v>
      </c>
    </row>
    <row r="770" spans="1:8" ht="47.25" hidden="1" customHeight="1" x14ac:dyDescent="0.2">
      <c r="A770" s="250" t="s">
        <v>678</v>
      </c>
      <c r="B770" s="127" t="s">
        <v>758</v>
      </c>
      <c r="C770" s="127" t="s">
        <v>113</v>
      </c>
      <c r="D770" s="127" t="s">
        <v>265</v>
      </c>
      <c r="E770" s="127" t="s">
        <v>679</v>
      </c>
      <c r="F770" s="128"/>
      <c r="G770" s="128"/>
      <c r="H770" s="128"/>
    </row>
    <row r="771" spans="1:8" ht="19.149999999999999" hidden="1" customHeight="1" x14ac:dyDescent="0.2">
      <c r="A771" s="252" t="s">
        <v>871</v>
      </c>
      <c r="B771" s="145" t="s">
        <v>747</v>
      </c>
      <c r="C771" s="145" t="s">
        <v>109</v>
      </c>
      <c r="D771" s="145" t="s">
        <v>666</v>
      </c>
      <c r="E771" s="145" t="s">
        <v>222</v>
      </c>
      <c r="F771" s="146">
        <f>F772</f>
        <v>0</v>
      </c>
      <c r="G771" s="146">
        <f t="shared" ref="G771:H774" si="167">G772</f>
        <v>0</v>
      </c>
      <c r="H771" s="146">
        <f t="shared" si="167"/>
        <v>0</v>
      </c>
    </row>
    <row r="772" spans="1:8" ht="25.9" hidden="1" customHeight="1" x14ac:dyDescent="0.2">
      <c r="A772" s="258" t="s">
        <v>872</v>
      </c>
      <c r="B772" s="135" t="s">
        <v>747</v>
      </c>
      <c r="C772" s="135" t="s">
        <v>747</v>
      </c>
      <c r="D772" s="135" t="s">
        <v>666</v>
      </c>
      <c r="E772" s="135" t="s">
        <v>222</v>
      </c>
      <c r="F772" s="136">
        <f>F773</f>
        <v>0</v>
      </c>
      <c r="G772" s="136">
        <f t="shared" si="167"/>
        <v>0</v>
      </c>
      <c r="H772" s="136">
        <f t="shared" si="167"/>
        <v>0</v>
      </c>
    </row>
    <row r="773" spans="1:8" ht="47.25" hidden="1" customHeight="1" x14ac:dyDescent="0.2">
      <c r="A773" s="250" t="s">
        <v>873</v>
      </c>
      <c r="B773" s="8" t="s">
        <v>747</v>
      </c>
      <c r="C773" s="8" t="s">
        <v>747</v>
      </c>
      <c r="D773" s="8" t="s">
        <v>846</v>
      </c>
      <c r="E773" s="127" t="s">
        <v>222</v>
      </c>
      <c r="F773" s="129">
        <f>F774</f>
        <v>0</v>
      </c>
      <c r="G773" s="129">
        <f t="shared" si="167"/>
        <v>0</v>
      </c>
      <c r="H773" s="129">
        <f t="shared" si="167"/>
        <v>0</v>
      </c>
    </row>
    <row r="774" spans="1:8" ht="33.6" hidden="1" customHeight="1" x14ac:dyDescent="0.2">
      <c r="A774" s="250" t="s">
        <v>676</v>
      </c>
      <c r="B774" s="8" t="s">
        <v>747</v>
      </c>
      <c r="C774" s="8" t="s">
        <v>747</v>
      </c>
      <c r="D774" s="127" t="s">
        <v>874</v>
      </c>
      <c r="E774" s="127" t="s">
        <v>677</v>
      </c>
      <c r="F774" s="128">
        <f>F775</f>
        <v>0</v>
      </c>
      <c r="G774" s="128">
        <f t="shared" si="167"/>
        <v>0</v>
      </c>
      <c r="H774" s="128">
        <f t="shared" si="167"/>
        <v>0</v>
      </c>
    </row>
    <row r="775" spans="1:8" ht="47.25" hidden="1" customHeight="1" x14ac:dyDescent="0.2">
      <c r="A775" s="250" t="s">
        <v>678</v>
      </c>
      <c r="B775" s="8" t="s">
        <v>747</v>
      </c>
      <c r="C775" s="8" t="s">
        <v>747</v>
      </c>
      <c r="D775" s="127" t="s">
        <v>491</v>
      </c>
      <c r="E775" s="127" t="s">
        <v>679</v>
      </c>
      <c r="F775" s="128"/>
      <c r="G775" s="128"/>
      <c r="H775" s="128"/>
    </row>
    <row r="776" spans="1:8" ht="18.75" customHeight="1" x14ac:dyDescent="0.2">
      <c r="A776" s="260" t="s">
        <v>875</v>
      </c>
      <c r="B776" s="118" t="s">
        <v>127</v>
      </c>
      <c r="C776" s="118" t="s">
        <v>109</v>
      </c>
      <c r="D776" s="118" t="s">
        <v>666</v>
      </c>
      <c r="E776" s="118" t="s">
        <v>222</v>
      </c>
      <c r="F776" s="119">
        <f>F777+F782+F797+F860</f>
        <v>36826.00303</v>
      </c>
      <c r="G776" s="119">
        <f>G777+G782+G797+G860</f>
        <v>53571.285879999996</v>
      </c>
      <c r="H776" s="119">
        <f>H777+H782+H797+H860</f>
        <v>53461.010409999995</v>
      </c>
    </row>
    <row r="777" spans="1:8" s="130" customFormat="1" ht="17.25" customHeight="1" x14ac:dyDescent="0.2">
      <c r="A777" s="249" t="s">
        <v>104</v>
      </c>
      <c r="B777" s="122" t="s">
        <v>127</v>
      </c>
      <c r="C777" s="122" t="s">
        <v>108</v>
      </c>
      <c r="D777" s="122" t="s">
        <v>666</v>
      </c>
      <c r="E777" s="122" t="s">
        <v>222</v>
      </c>
      <c r="F777" s="123">
        <f>F778</f>
        <v>2332</v>
      </c>
      <c r="G777" s="123">
        <f>G778</f>
        <v>1200</v>
      </c>
      <c r="H777" s="123">
        <f>H778</f>
        <v>1200</v>
      </c>
    </row>
    <row r="778" spans="1:8" ht="33" customHeight="1" x14ac:dyDescent="0.2">
      <c r="A778" s="250" t="s">
        <v>876</v>
      </c>
      <c r="B778" s="127" t="s">
        <v>127</v>
      </c>
      <c r="C778" s="127" t="s">
        <v>108</v>
      </c>
      <c r="D778" s="127" t="s">
        <v>67</v>
      </c>
      <c r="E778" s="127" t="s">
        <v>222</v>
      </c>
      <c r="F778" s="128">
        <f>F779</f>
        <v>2332</v>
      </c>
      <c r="G778" s="128">
        <f t="shared" ref="G778:H780" si="168">G779</f>
        <v>1200</v>
      </c>
      <c r="H778" s="128">
        <f t="shared" si="168"/>
        <v>1200</v>
      </c>
    </row>
    <row r="779" spans="1:8" ht="50.25" customHeight="1" x14ac:dyDescent="0.2">
      <c r="A779" s="250" t="s">
        <v>877</v>
      </c>
      <c r="B779" s="127" t="s">
        <v>127</v>
      </c>
      <c r="C779" s="127" t="s">
        <v>108</v>
      </c>
      <c r="D779" s="127" t="s">
        <v>67</v>
      </c>
      <c r="E779" s="127" t="s">
        <v>222</v>
      </c>
      <c r="F779" s="128">
        <f>F780</f>
        <v>2332</v>
      </c>
      <c r="G779" s="128">
        <f t="shared" si="168"/>
        <v>1200</v>
      </c>
      <c r="H779" s="128">
        <f t="shared" si="168"/>
        <v>1200</v>
      </c>
    </row>
    <row r="780" spans="1:8" ht="31.5" customHeight="1" x14ac:dyDescent="0.2">
      <c r="A780" s="250" t="s">
        <v>832</v>
      </c>
      <c r="B780" s="127" t="s">
        <v>127</v>
      </c>
      <c r="C780" s="127" t="s">
        <v>108</v>
      </c>
      <c r="D780" s="127" t="s">
        <v>67</v>
      </c>
      <c r="E780" s="127" t="s">
        <v>833</v>
      </c>
      <c r="F780" s="128">
        <f>F781</f>
        <v>2332</v>
      </c>
      <c r="G780" s="128">
        <f t="shared" si="168"/>
        <v>1200</v>
      </c>
      <c r="H780" s="128">
        <f t="shared" si="168"/>
        <v>1200</v>
      </c>
    </row>
    <row r="781" spans="1:8" s="143" customFormat="1" ht="32.25" customHeight="1" x14ac:dyDescent="0.25">
      <c r="A781" s="250" t="s">
        <v>120</v>
      </c>
      <c r="B781" s="127" t="s">
        <v>127</v>
      </c>
      <c r="C781" s="127" t="s">
        <v>108</v>
      </c>
      <c r="D781" s="127" t="s">
        <v>67</v>
      </c>
      <c r="E781" s="127" t="s">
        <v>121</v>
      </c>
      <c r="F781" s="357">
        <f>'5'!D281</f>
        <v>2332</v>
      </c>
      <c r="G781" s="128">
        <f>'5'!E281</f>
        <v>1200</v>
      </c>
      <c r="H781" s="128">
        <f>'5'!F281</f>
        <v>1200</v>
      </c>
    </row>
    <row r="782" spans="1:8" s="143" customFormat="1" ht="18.75" customHeight="1" x14ac:dyDescent="0.25">
      <c r="A782" s="249" t="s">
        <v>332</v>
      </c>
      <c r="B782" s="122" t="s">
        <v>127</v>
      </c>
      <c r="C782" s="122" t="s">
        <v>111</v>
      </c>
      <c r="D782" s="122" t="s">
        <v>666</v>
      </c>
      <c r="E782" s="122" t="s">
        <v>222</v>
      </c>
      <c r="F782" s="123">
        <f>F783+F786+F789</f>
        <v>1980.4</v>
      </c>
      <c r="G782" s="123">
        <f>G783+G786+G789</f>
        <v>1330</v>
      </c>
      <c r="H782" s="123">
        <f>H783+H786+H789</f>
        <v>200</v>
      </c>
    </row>
    <row r="783" spans="1:8" s="143" customFormat="1" ht="99.75" customHeight="1" x14ac:dyDescent="0.25">
      <c r="A783" s="251" t="s">
        <v>333</v>
      </c>
      <c r="B783" s="8" t="s">
        <v>127</v>
      </c>
      <c r="C783" s="8" t="s">
        <v>111</v>
      </c>
      <c r="D783" s="8" t="s">
        <v>35</v>
      </c>
      <c r="E783" s="8" t="s">
        <v>222</v>
      </c>
      <c r="F783" s="129">
        <f t="shared" ref="F783:H784" si="169">F784</f>
        <v>440.4</v>
      </c>
      <c r="G783" s="129">
        <f t="shared" si="169"/>
        <v>1130</v>
      </c>
      <c r="H783" s="129">
        <f t="shared" si="169"/>
        <v>0</v>
      </c>
    </row>
    <row r="784" spans="1:8" s="143" customFormat="1" ht="33" customHeight="1" x14ac:dyDescent="0.25">
      <c r="A784" s="250" t="s">
        <v>832</v>
      </c>
      <c r="B784" s="127" t="s">
        <v>127</v>
      </c>
      <c r="C784" s="127" t="s">
        <v>111</v>
      </c>
      <c r="D784" s="127" t="s">
        <v>461</v>
      </c>
      <c r="E784" s="127" t="s">
        <v>833</v>
      </c>
      <c r="F784" s="128">
        <f t="shared" si="169"/>
        <v>440.4</v>
      </c>
      <c r="G784" s="128">
        <f t="shared" si="169"/>
        <v>1130</v>
      </c>
      <c r="H784" s="128">
        <f t="shared" si="169"/>
        <v>0</v>
      </c>
    </row>
    <row r="785" spans="1:8" s="143" customFormat="1" ht="36" customHeight="1" x14ac:dyDescent="0.25">
      <c r="A785" s="269" t="s">
        <v>122</v>
      </c>
      <c r="B785" s="161" t="s">
        <v>127</v>
      </c>
      <c r="C785" s="161" t="s">
        <v>111</v>
      </c>
      <c r="D785" s="161" t="s">
        <v>461</v>
      </c>
      <c r="E785" s="161" t="s">
        <v>878</v>
      </c>
      <c r="F785" s="144">
        <f>'5'!D51</f>
        <v>440.4</v>
      </c>
      <c r="G785" s="144">
        <f>'5'!E51</f>
        <v>1130</v>
      </c>
      <c r="H785" s="144">
        <f>'5'!F51</f>
        <v>0</v>
      </c>
    </row>
    <row r="786" spans="1:8" s="130" customFormat="1" ht="67.5" customHeight="1" x14ac:dyDescent="0.2">
      <c r="A786" s="251" t="s">
        <v>879</v>
      </c>
      <c r="B786" s="8" t="s">
        <v>127</v>
      </c>
      <c r="C786" s="8" t="s">
        <v>111</v>
      </c>
      <c r="D786" s="8" t="s">
        <v>68</v>
      </c>
      <c r="E786" s="8" t="s">
        <v>222</v>
      </c>
      <c r="F786" s="129">
        <f t="shared" ref="F786:H787" si="170">F787</f>
        <v>200</v>
      </c>
      <c r="G786" s="129">
        <f t="shared" si="170"/>
        <v>200</v>
      </c>
      <c r="H786" s="129">
        <f t="shared" si="170"/>
        <v>200</v>
      </c>
    </row>
    <row r="787" spans="1:8" s="130" customFormat="1" ht="34.5" customHeight="1" x14ac:dyDescent="0.2">
      <c r="A787" s="250" t="s">
        <v>832</v>
      </c>
      <c r="B787" s="127" t="s">
        <v>127</v>
      </c>
      <c r="C787" s="127" t="s">
        <v>111</v>
      </c>
      <c r="D787" s="127" t="s">
        <v>69</v>
      </c>
      <c r="E787" s="127" t="s">
        <v>833</v>
      </c>
      <c r="F787" s="128">
        <f t="shared" si="170"/>
        <v>200</v>
      </c>
      <c r="G787" s="128">
        <f t="shared" si="170"/>
        <v>200</v>
      </c>
      <c r="H787" s="128">
        <f t="shared" si="170"/>
        <v>200</v>
      </c>
    </row>
    <row r="788" spans="1:8" ht="36" customHeight="1" x14ac:dyDescent="0.2">
      <c r="A788" s="250" t="s">
        <v>122</v>
      </c>
      <c r="B788" s="127" t="s">
        <v>127</v>
      </c>
      <c r="C788" s="127" t="s">
        <v>111</v>
      </c>
      <c r="D788" s="127" t="s">
        <v>69</v>
      </c>
      <c r="E788" s="127" t="s">
        <v>878</v>
      </c>
      <c r="F788" s="128">
        <f>'5'!D145</f>
        <v>200</v>
      </c>
      <c r="G788" s="128">
        <f>'5'!E145</f>
        <v>200</v>
      </c>
      <c r="H788" s="128">
        <f>'5'!F145</f>
        <v>200</v>
      </c>
    </row>
    <row r="789" spans="1:8" ht="37.5" customHeight="1" x14ac:dyDescent="0.2">
      <c r="A789" s="250" t="s">
        <v>669</v>
      </c>
      <c r="B789" s="127" t="s">
        <v>127</v>
      </c>
      <c r="C789" s="127" t="s">
        <v>111</v>
      </c>
      <c r="D789" s="127" t="s">
        <v>666</v>
      </c>
      <c r="E789" s="127" t="s">
        <v>222</v>
      </c>
      <c r="F789" s="128">
        <f>F790</f>
        <v>1340</v>
      </c>
      <c r="G789" s="128">
        <f t="shared" ref="G789:H792" si="171">G790</f>
        <v>0</v>
      </c>
      <c r="H789" s="128">
        <f t="shared" si="171"/>
        <v>0</v>
      </c>
    </row>
    <row r="790" spans="1:8" ht="53.25" customHeight="1" x14ac:dyDescent="0.2">
      <c r="A790" s="250" t="s">
        <v>110</v>
      </c>
      <c r="B790" s="127" t="s">
        <v>127</v>
      </c>
      <c r="C790" s="127" t="s">
        <v>111</v>
      </c>
      <c r="D790" s="127" t="s">
        <v>666</v>
      </c>
      <c r="E790" s="127" t="s">
        <v>222</v>
      </c>
      <c r="F790" s="128">
        <f>F791+F794</f>
        <v>1340</v>
      </c>
      <c r="G790" s="128">
        <f>G791+G794</f>
        <v>0</v>
      </c>
      <c r="H790" s="128">
        <f>H791+H794</f>
        <v>0</v>
      </c>
    </row>
    <row r="791" spans="1:8" ht="240" hidden="1" customHeight="1" x14ac:dyDescent="0.2">
      <c r="A791" s="251" t="s">
        <v>880</v>
      </c>
      <c r="B791" s="127" t="s">
        <v>127</v>
      </c>
      <c r="C791" s="127" t="s">
        <v>111</v>
      </c>
      <c r="D791" s="8" t="s">
        <v>469</v>
      </c>
      <c r="E791" s="8" t="s">
        <v>222</v>
      </c>
      <c r="F791" s="129">
        <f>F792</f>
        <v>0</v>
      </c>
      <c r="G791" s="129">
        <f t="shared" si="171"/>
        <v>0</v>
      </c>
      <c r="H791" s="129">
        <f t="shared" si="171"/>
        <v>0</v>
      </c>
    </row>
    <row r="792" spans="1:8" ht="20.45" hidden="1" customHeight="1" x14ac:dyDescent="0.2">
      <c r="A792" s="250" t="s">
        <v>680</v>
      </c>
      <c r="B792" s="127" t="s">
        <v>127</v>
      </c>
      <c r="C792" s="127" t="s">
        <v>111</v>
      </c>
      <c r="D792" s="127" t="s">
        <v>469</v>
      </c>
      <c r="E792" s="127" t="s">
        <v>681</v>
      </c>
      <c r="F792" s="128">
        <f>F793</f>
        <v>0</v>
      </c>
      <c r="G792" s="128">
        <f t="shared" si="171"/>
        <v>0</v>
      </c>
      <c r="H792" s="128">
        <f t="shared" si="171"/>
        <v>0</v>
      </c>
    </row>
    <row r="793" spans="1:8" ht="81" hidden="1" customHeight="1" x14ac:dyDescent="0.2">
      <c r="A793" s="250" t="s">
        <v>881</v>
      </c>
      <c r="B793" s="127" t="s">
        <v>127</v>
      </c>
      <c r="C793" s="127" t="s">
        <v>111</v>
      </c>
      <c r="D793" s="127" t="s">
        <v>469</v>
      </c>
      <c r="E793" s="127" t="s">
        <v>760</v>
      </c>
      <c r="F793" s="74"/>
      <c r="G793" s="74"/>
      <c r="H793" s="74"/>
    </row>
    <row r="794" spans="1:8" ht="70.5" customHeight="1" x14ac:dyDescent="0.2">
      <c r="A794" s="256" t="s">
        <v>601</v>
      </c>
      <c r="B794" s="147" t="s">
        <v>127</v>
      </c>
      <c r="C794" s="147" t="s">
        <v>111</v>
      </c>
      <c r="D794" s="147" t="s">
        <v>600</v>
      </c>
      <c r="E794" s="147" t="s">
        <v>222</v>
      </c>
      <c r="F794" s="100">
        <f t="shared" ref="F794:H795" si="172">F795</f>
        <v>1340</v>
      </c>
      <c r="G794" s="100">
        <f t="shared" si="172"/>
        <v>0</v>
      </c>
      <c r="H794" s="100">
        <f t="shared" si="172"/>
        <v>0</v>
      </c>
    </row>
    <row r="795" spans="1:8" ht="34.15" customHeight="1" x14ac:dyDescent="0.2">
      <c r="A795" s="257" t="s">
        <v>832</v>
      </c>
      <c r="B795" s="133" t="s">
        <v>127</v>
      </c>
      <c r="C795" s="133" t="s">
        <v>111</v>
      </c>
      <c r="D795" s="133" t="s">
        <v>600</v>
      </c>
      <c r="E795" s="133" t="s">
        <v>833</v>
      </c>
      <c r="F795" s="14">
        <f t="shared" si="172"/>
        <v>1340</v>
      </c>
      <c r="G795" s="14">
        <f t="shared" si="172"/>
        <v>0</v>
      </c>
      <c r="H795" s="14">
        <f t="shared" si="172"/>
        <v>0</v>
      </c>
    </row>
    <row r="796" spans="1:8" ht="34.9" customHeight="1" x14ac:dyDescent="0.2">
      <c r="A796" s="257" t="s">
        <v>122</v>
      </c>
      <c r="B796" s="133" t="s">
        <v>127</v>
      </c>
      <c r="C796" s="133" t="s">
        <v>111</v>
      </c>
      <c r="D796" s="133" t="s">
        <v>600</v>
      </c>
      <c r="E796" s="133" t="s">
        <v>878</v>
      </c>
      <c r="F796" s="14">
        <f>'5'!D295</f>
        <v>1340</v>
      </c>
      <c r="G796" s="14">
        <f>'5'!E295</f>
        <v>0</v>
      </c>
      <c r="H796" s="14">
        <f>'5'!F295</f>
        <v>0</v>
      </c>
    </row>
    <row r="797" spans="1:8" ht="18.75" customHeight="1" x14ac:dyDescent="0.2">
      <c r="A797" s="249" t="s">
        <v>216</v>
      </c>
      <c r="B797" s="122" t="s">
        <v>127</v>
      </c>
      <c r="C797" s="122" t="s">
        <v>113</v>
      </c>
      <c r="D797" s="122" t="s">
        <v>666</v>
      </c>
      <c r="E797" s="122" t="s">
        <v>222</v>
      </c>
      <c r="F797" s="123">
        <f>F798+F814+F839</f>
        <v>29930.72003</v>
      </c>
      <c r="G797" s="123">
        <f>G798+G814+G839</f>
        <v>48434.149879999997</v>
      </c>
      <c r="H797" s="123">
        <f>H798+H814+H839+H846</f>
        <v>49355.893409999997</v>
      </c>
    </row>
    <row r="798" spans="1:8" s="130" customFormat="1" ht="54.75" customHeight="1" x14ac:dyDescent="0.2">
      <c r="A798" s="251" t="s">
        <v>812</v>
      </c>
      <c r="B798" s="8" t="s">
        <v>127</v>
      </c>
      <c r="C798" s="8" t="s">
        <v>113</v>
      </c>
      <c r="D798" s="8" t="s">
        <v>22</v>
      </c>
      <c r="E798" s="8" t="s">
        <v>222</v>
      </c>
      <c r="F798" s="129">
        <f>F802+F806+F799</f>
        <v>3088.0970000000002</v>
      </c>
      <c r="G798" s="129">
        <f>G802+G806+G799</f>
        <v>6471.61</v>
      </c>
      <c r="H798" s="129">
        <f>H802+H806+H799</f>
        <v>6710.7650000000003</v>
      </c>
    </row>
    <row r="799" spans="1:8" ht="47.25" customHeight="1" x14ac:dyDescent="0.2">
      <c r="A799" s="259" t="s">
        <v>882</v>
      </c>
      <c r="B799" s="127" t="s">
        <v>127</v>
      </c>
      <c r="C799" s="127" t="s">
        <v>113</v>
      </c>
      <c r="D799" s="8" t="s">
        <v>324</v>
      </c>
      <c r="E799" s="8" t="s">
        <v>222</v>
      </c>
      <c r="F799" s="128">
        <f t="shared" ref="F799:H800" si="173">F800</f>
        <v>235</v>
      </c>
      <c r="G799" s="128">
        <f t="shared" si="173"/>
        <v>200</v>
      </c>
      <c r="H799" s="128">
        <f t="shared" si="173"/>
        <v>200</v>
      </c>
    </row>
    <row r="800" spans="1:8" ht="33.75" customHeight="1" x14ac:dyDescent="0.2">
      <c r="A800" s="250" t="s">
        <v>832</v>
      </c>
      <c r="B800" s="127" t="s">
        <v>127</v>
      </c>
      <c r="C800" s="127" t="s">
        <v>113</v>
      </c>
      <c r="D800" s="8" t="s">
        <v>324</v>
      </c>
      <c r="E800" s="8" t="s">
        <v>833</v>
      </c>
      <c r="F800" s="128">
        <f t="shared" si="173"/>
        <v>235</v>
      </c>
      <c r="G800" s="128">
        <f t="shared" si="173"/>
        <v>200</v>
      </c>
      <c r="H800" s="128">
        <f t="shared" si="173"/>
        <v>200</v>
      </c>
    </row>
    <row r="801" spans="1:10" ht="34.9" customHeight="1" x14ac:dyDescent="0.2">
      <c r="A801" s="250" t="s">
        <v>122</v>
      </c>
      <c r="B801" s="133" t="s">
        <v>127</v>
      </c>
      <c r="C801" s="133" t="s">
        <v>113</v>
      </c>
      <c r="D801" s="147" t="s">
        <v>324</v>
      </c>
      <c r="E801" s="147" t="s">
        <v>878</v>
      </c>
      <c r="F801" s="357">
        <f>200+35</f>
        <v>235</v>
      </c>
      <c r="G801" s="357">
        <v>200</v>
      </c>
      <c r="H801" s="357">
        <v>200</v>
      </c>
    </row>
    <row r="802" spans="1:10" ht="40.5" customHeight="1" x14ac:dyDescent="0.2">
      <c r="A802" s="259" t="s">
        <v>884</v>
      </c>
      <c r="B802" s="127" t="s">
        <v>127</v>
      </c>
      <c r="C802" s="127" t="s">
        <v>113</v>
      </c>
      <c r="D802" s="127" t="s">
        <v>31</v>
      </c>
      <c r="E802" s="127" t="s">
        <v>222</v>
      </c>
      <c r="F802" s="128">
        <f>F803</f>
        <v>2553.3670000000002</v>
      </c>
      <c r="G802" s="128">
        <f>G803</f>
        <v>5971.61</v>
      </c>
      <c r="H802" s="128">
        <f>H803</f>
        <v>6210.7650000000003</v>
      </c>
    </row>
    <row r="803" spans="1:10" ht="81" customHeight="1" x14ac:dyDescent="0.2">
      <c r="A803" s="251" t="s">
        <v>129</v>
      </c>
      <c r="B803" s="127" t="s">
        <v>127</v>
      </c>
      <c r="C803" s="127" t="s">
        <v>113</v>
      </c>
      <c r="D803" s="127" t="s">
        <v>70</v>
      </c>
      <c r="E803" s="127" t="s">
        <v>222</v>
      </c>
      <c r="F803" s="357">
        <f>'2  '!D88</f>
        <v>2553.3670000000002</v>
      </c>
      <c r="G803" s="128">
        <f>G804+G805</f>
        <v>5971.61</v>
      </c>
      <c r="H803" s="128">
        <f>H804+H805</f>
        <v>6210.7650000000003</v>
      </c>
      <c r="I803" s="132"/>
      <c r="J803" s="132"/>
    </row>
    <row r="804" spans="1:10" ht="55.5" customHeight="1" x14ac:dyDescent="0.2">
      <c r="A804" s="250" t="s">
        <v>678</v>
      </c>
      <c r="B804" s="127" t="s">
        <v>127</v>
      </c>
      <c r="C804" s="127" t="s">
        <v>113</v>
      </c>
      <c r="D804" s="127" t="s">
        <v>70</v>
      </c>
      <c r="E804" s="127" t="s">
        <v>679</v>
      </c>
      <c r="F804" s="357">
        <v>38.3005</v>
      </c>
      <c r="G804" s="128">
        <v>89.575000000000003</v>
      </c>
      <c r="H804" s="128">
        <v>93.162000000000006</v>
      </c>
    </row>
    <row r="805" spans="1:10" ht="35.25" customHeight="1" x14ac:dyDescent="0.2">
      <c r="A805" s="250" t="s">
        <v>120</v>
      </c>
      <c r="B805" s="127" t="s">
        <v>127</v>
      </c>
      <c r="C805" s="127" t="s">
        <v>113</v>
      </c>
      <c r="D805" s="127" t="s">
        <v>70</v>
      </c>
      <c r="E805" s="127" t="s">
        <v>121</v>
      </c>
      <c r="F805" s="357">
        <f>F803-F804</f>
        <v>2515.0665000000004</v>
      </c>
      <c r="G805" s="357">
        <f>5971.61-89.575</f>
        <v>5882.0349999999999</v>
      </c>
      <c r="H805" s="357">
        <f>6210.765-93.162</f>
        <v>6117.6030000000001</v>
      </c>
      <c r="I805" s="132"/>
      <c r="J805" s="132"/>
    </row>
    <row r="806" spans="1:10" ht="51" customHeight="1" x14ac:dyDescent="0.2">
      <c r="A806" s="251" t="s">
        <v>812</v>
      </c>
      <c r="B806" s="8" t="s">
        <v>127</v>
      </c>
      <c r="C806" s="8" t="s">
        <v>113</v>
      </c>
      <c r="D806" s="8" t="s">
        <v>22</v>
      </c>
      <c r="E806" s="8" t="s">
        <v>222</v>
      </c>
      <c r="F806" s="129">
        <f>F807</f>
        <v>299.73</v>
      </c>
      <c r="G806" s="129">
        <f t="shared" ref="G806:H809" si="174">G807</f>
        <v>300</v>
      </c>
      <c r="H806" s="129">
        <f t="shared" si="174"/>
        <v>300</v>
      </c>
    </row>
    <row r="807" spans="1:10" ht="39" customHeight="1" x14ac:dyDescent="0.2">
      <c r="A807" s="275" t="s">
        <v>249</v>
      </c>
      <c r="B807" s="8" t="s">
        <v>127</v>
      </c>
      <c r="C807" s="8" t="s">
        <v>113</v>
      </c>
      <c r="D807" s="8" t="s">
        <v>50</v>
      </c>
      <c r="E807" s="8" t="s">
        <v>222</v>
      </c>
      <c r="F807" s="129">
        <f>F808</f>
        <v>299.73</v>
      </c>
      <c r="G807" s="129">
        <f t="shared" si="174"/>
        <v>300</v>
      </c>
      <c r="H807" s="129">
        <f t="shared" si="174"/>
        <v>300</v>
      </c>
    </row>
    <row r="808" spans="1:10" ht="69.75" customHeight="1" x14ac:dyDescent="0.2">
      <c r="A808" s="251" t="s">
        <v>395</v>
      </c>
      <c r="B808" s="8" t="s">
        <v>127</v>
      </c>
      <c r="C808" s="8" t="s">
        <v>113</v>
      </c>
      <c r="D808" s="8" t="s">
        <v>50</v>
      </c>
      <c r="E808" s="8" t="s">
        <v>222</v>
      </c>
      <c r="F808" s="129">
        <f>F809</f>
        <v>299.73</v>
      </c>
      <c r="G808" s="129">
        <f t="shared" si="174"/>
        <v>300</v>
      </c>
      <c r="H808" s="129">
        <f t="shared" si="174"/>
        <v>300</v>
      </c>
    </row>
    <row r="809" spans="1:10" ht="35.25" customHeight="1" x14ac:dyDescent="0.2">
      <c r="A809" s="250" t="s">
        <v>832</v>
      </c>
      <c r="B809" s="127" t="s">
        <v>127</v>
      </c>
      <c r="C809" s="127" t="s">
        <v>113</v>
      </c>
      <c r="D809" s="127" t="s">
        <v>51</v>
      </c>
      <c r="E809" s="127" t="s">
        <v>833</v>
      </c>
      <c r="F809" s="128">
        <f>F810</f>
        <v>299.73</v>
      </c>
      <c r="G809" s="128">
        <f t="shared" si="174"/>
        <v>300</v>
      </c>
      <c r="H809" s="128">
        <f t="shared" si="174"/>
        <v>300</v>
      </c>
    </row>
    <row r="810" spans="1:10" ht="36.75" customHeight="1" x14ac:dyDescent="0.2">
      <c r="A810" s="257" t="s">
        <v>120</v>
      </c>
      <c r="B810" s="133" t="s">
        <v>127</v>
      </c>
      <c r="C810" s="133" t="s">
        <v>113</v>
      </c>
      <c r="D810" s="133" t="s">
        <v>51</v>
      </c>
      <c r="E810" s="133" t="s">
        <v>121</v>
      </c>
      <c r="F810" s="357">
        <f>300-0.27</f>
        <v>299.73</v>
      </c>
      <c r="G810" s="128">
        <v>300</v>
      </c>
      <c r="H810" s="128">
        <v>300</v>
      </c>
    </row>
    <row r="811" spans="1:10" ht="32.65" hidden="1" customHeight="1" x14ac:dyDescent="0.2">
      <c r="A811" s="276"/>
      <c r="B811" s="204"/>
      <c r="C811" s="204"/>
      <c r="D811" s="204"/>
      <c r="E811" s="204"/>
      <c r="F811" s="204"/>
      <c r="G811" s="128"/>
      <c r="H811" s="128"/>
    </row>
    <row r="812" spans="1:10" ht="32.65" hidden="1" customHeight="1" x14ac:dyDescent="0.2">
      <c r="A812" s="276"/>
      <c r="B812" s="204"/>
      <c r="C812" s="204"/>
      <c r="D812" s="204"/>
      <c r="E812" s="204"/>
      <c r="F812" s="204"/>
      <c r="G812" s="128"/>
      <c r="H812" s="128"/>
    </row>
    <row r="813" spans="1:10" ht="32.65" hidden="1" customHeight="1" x14ac:dyDescent="0.2">
      <c r="A813" s="276"/>
      <c r="B813" s="204"/>
      <c r="C813" s="204"/>
      <c r="D813" s="204"/>
      <c r="E813" s="204"/>
      <c r="F813" s="204"/>
      <c r="G813" s="128"/>
      <c r="H813" s="128"/>
    </row>
    <row r="814" spans="1:10" ht="132" customHeight="1" x14ac:dyDescent="0.2">
      <c r="A814" s="258" t="s">
        <v>440</v>
      </c>
      <c r="B814" s="135" t="s">
        <v>127</v>
      </c>
      <c r="C814" s="135" t="s">
        <v>113</v>
      </c>
      <c r="D814" s="135" t="s">
        <v>416</v>
      </c>
      <c r="E814" s="135" t="s">
        <v>222</v>
      </c>
      <c r="F814" s="136">
        <f>F815+F820+F828</f>
        <v>24931.352129999999</v>
      </c>
      <c r="G814" s="136">
        <f>G815+G820+G828</f>
        <v>38371.855009999999</v>
      </c>
      <c r="H814" s="136">
        <f>H815+H820+H828</f>
        <v>0</v>
      </c>
    </row>
    <row r="815" spans="1:10" ht="89.25" customHeight="1" x14ac:dyDescent="0.2">
      <c r="A815" s="251" t="s">
        <v>483</v>
      </c>
      <c r="B815" s="8" t="s">
        <v>127</v>
      </c>
      <c r="C815" s="8" t="s">
        <v>113</v>
      </c>
      <c r="D815" s="133" t="s">
        <v>1046</v>
      </c>
      <c r="E815" s="147" t="s">
        <v>222</v>
      </c>
      <c r="F815" s="131">
        <f>F816+F818</f>
        <v>13428.384</v>
      </c>
      <c r="G815" s="131">
        <f t="shared" ref="G815:H815" si="175">G816+G818</f>
        <v>9033.5999999999985</v>
      </c>
      <c r="H815" s="131">
        <f t="shared" si="175"/>
        <v>0</v>
      </c>
    </row>
    <row r="816" spans="1:10" ht="31.5" hidden="1" customHeight="1" x14ac:dyDescent="0.2">
      <c r="A816" s="250" t="s">
        <v>832</v>
      </c>
      <c r="B816" s="127" t="s">
        <v>127</v>
      </c>
      <c r="C816" s="127" t="s">
        <v>113</v>
      </c>
      <c r="D816" s="133" t="s">
        <v>1046</v>
      </c>
      <c r="E816" s="133" t="s">
        <v>833</v>
      </c>
      <c r="F816" s="357">
        <f>F817</f>
        <v>0</v>
      </c>
      <c r="G816" s="357">
        <f>G817</f>
        <v>0</v>
      </c>
      <c r="H816" s="357">
        <f>H817</f>
        <v>0</v>
      </c>
    </row>
    <row r="817" spans="1:12" ht="37.5" hidden="1" customHeight="1" x14ac:dyDescent="0.2">
      <c r="A817" s="250" t="s">
        <v>122</v>
      </c>
      <c r="B817" s="127" t="s">
        <v>127</v>
      </c>
      <c r="C817" s="127" t="s">
        <v>113</v>
      </c>
      <c r="D817" s="133" t="s">
        <v>1046</v>
      </c>
      <c r="E817" s="133" t="s">
        <v>878</v>
      </c>
      <c r="F817" s="357">
        <f>'5'!D237</f>
        <v>0</v>
      </c>
      <c r="G817" s="357">
        <f>'5'!E237</f>
        <v>0</v>
      </c>
      <c r="H817" s="357">
        <f>'5'!F237</f>
        <v>0</v>
      </c>
    </row>
    <row r="818" spans="1:12" ht="48.75" customHeight="1" x14ac:dyDescent="0.2">
      <c r="A818" s="250" t="s">
        <v>729</v>
      </c>
      <c r="B818" s="127" t="s">
        <v>127</v>
      </c>
      <c r="C818" s="127" t="s">
        <v>113</v>
      </c>
      <c r="D818" s="133" t="s">
        <v>1046</v>
      </c>
      <c r="E818" s="133" t="s">
        <v>730</v>
      </c>
      <c r="F818" s="357">
        <f>F819</f>
        <v>13428.384</v>
      </c>
      <c r="G818" s="357">
        <f>G819</f>
        <v>9033.5999999999985</v>
      </c>
      <c r="H818" s="357">
        <f>H819</f>
        <v>0</v>
      </c>
    </row>
    <row r="819" spans="1:12" ht="17.25" customHeight="1" x14ac:dyDescent="0.2">
      <c r="A819" s="250" t="s">
        <v>731</v>
      </c>
      <c r="B819" s="127" t="s">
        <v>127</v>
      </c>
      <c r="C819" s="127" t="s">
        <v>113</v>
      </c>
      <c r="D819" s="133" t="s">
        <v>1046</v>
      </c>
      <c r="E819" s="133" t="s">
        <v>732</v>
      </c>
      <c r="F819" s="357">
        <f>'5'!D236</f>
        <v>13428.384</v>
      </c>
      <c r="G819" s="357">
        <f>'5'!E236</f>
        <v>9033.5999999999985</v>
      </c>
      <c r="H819" s="357">
        <f>'5'!F236</f>
        <v>0</v>
      </c>
    </row>
    <row r="820" spans="1:12" ht="84" customHeight="1" x14ac:dyDescent="0.2">
      <c r="A820" s="251" t="s">
        <v>885</v>
      </c>
      <c r="B820" s="127" t="s">
        <v>127</v>
      </c>
      <c r="C820" s="127" t="s">
        <v>113</v>
      </c>
      <c r="D820" s="8" t="s">
        <v>482</v>
      </c>
      <c r="E820" s="8" t="s">
        <v>222</v>
      </c>
      <c r="F820" s="129">
        <f t="shared" ref="F820:H821" si="176">F821</f>
        <v>0</v>
      </c>
      <c r="G820" s="129">
        <f t="shared" si="176"/>
        <v>13550.4</v>
      </c>
      <c r="H820" s="129">
        <f t="shared" si="176"/>
        <v>0</v>
      </c>
    </row>
    <row r="821" spans="1:12" ht="53.25" customHeight="1" x14ac:dyDescent="0.2">
      <c r="A821" s="250" t="s">
        <v>729</v>
      </c>
      <c r="B821" s="127" t="s">
        <v>127</v>
      </c>
      <c r="C821" s="127" t="s">
        <v>113</v>
      </c>
      <c r="D821" s="127" t="s">
        <v>482</v>
      </c>
      <c r="E821" s="127" t="s">
        <v>730</v>
      </c>
      <c r="F821" s="128">
        <f t="shared" si="176"/>
        <v>0</v>
      </c>
      <c r="G821" s="128">
        <f t="shared" si="176"/>
        <v>13550.4</v>
      </c>
      <c r="H821" s="128">
        <f t="shared" si="176"/>
        <v>0</v>
      </c>
    </row>
    <row r="822" spans="1:12" ht="22.5" customHeight="1" x14ac:dyDescent="0.2">
      <c r="A822" s="250" t="s">
        <v>731</v>
      </c>
      <c r="B822" s="127" t="s">
        <v>127</v>
      </c>
      <c r="C822" s="127" t="s">
        <v>113</v>
      </c>
      <c r="D822" s="127" t="s">
        <v>482</v>
      </c>
      <c r="E822" s="127" t="s">
        <v>732</v>
      </c>
      <c r="F822" s="357">
        <f>'5'!D238</f>
        <v>0</v>
      </c>
      <c r="G822" s="357">
        <f>'5'!E238</f>
        <v>13550.4</v>
      </c>
      <c r="H822" s="357">
        <f>'5'!F238</f>
        <v>0</v>
      </c>
    </row>
    <row r="823" spans="1:12" ht="17.25" hidden="1" customHeight="1" x14ac:dyDescent="0.2">
      <c r="A823" s="250"/>
      <c r="B823" s="127"/>
      <c r="C823" s="127"/>
      <c r="D823" s="127"/>
      <c r="E823" s="127"/>
      <c r="F823" s="128"/>
      <c r="G823" s="128"/>
      <c r="H823" s="128"/>
    </row>
    <row r="824" spans="1:12" ht="17.25" hidden="1" customHeight="1" x14ac:dyDescent="0.2">
      <c r="A824" s="250"/>
      <c r="B824" s="127"/>
      <c r="C824" s="127"/>
      <c r="D824" s="127"/>
      <c r="E824" s="127"/>
      <c r="F824" s="128"/>
      <c r="G824" s="128"/>
      <c r="H824" s="128"/>
    </row>
    <row r="825" spans="1:12" ht="17.25" hidden="1" customHeight="1" x14ac:dyDescent="0.2">
      <c r="A825" s="250"/>
      <c r="B825" s="127"/>
      <c r="C825" s="127"/>
      <c r="D825" s="127"/>
      <c r="E825" s="127"/>
      <c r="F825" s="128"/>
      <c r="G825" s="128"/>
      <c r="H825" s="128"/>
    </row>
    <row r="826" spans="1:12" ht="17.25" hidden="1" customHeight="1" x14ac:dyDescent="0.2">
      <c r="A826" s="250"/>
      <c r="B826" s="127"/>
      <c r="C826" s="127"/>
      <c r="D826" s="127"/>
      <c r="E826" s="127"/>
      <c r="F826" s="128"/>
      <c r="G826" s="128"/>
      <c r="H826" s="128"/>
    </row>
    <row r="827" spans="1:12" ht="17.25" hidden="1" customHeight="1" x14ac:dyDescent="0.2">
      <c r="A827" s="250"/>
      <c r="B827" s="127"/>
      <c r="C827" s="127"/>
      <c r="D827" s="127"/>
      <c r="E827" s="127"/>
      <c r="F827" s="128"/>
      <c r="G827" s="128"/>
      <c r="H827" s="128"/>
    </row>
    <row r="828" spans="1:12" ht="113.25" customHeight="1" x14ac:dyDescent="0.2">
      <c r="A828" s="251" t="s">
        <v>375</v>
      </c>
      <c r="B828" s="8" t="s">
        <v>127</v>
      </c>
      <c r="C828" s="8" t="s">
        <v>113</v>
      </c>
      <c r="D828" s="127" t="s">
        <v>420</v>
      </c>
      <c r="E828" s="8" t="s">
        <v>222</v>
      </c>
      <c r="F828" s="131">
        <f>F829+F831</f>
        <v>11502.968130000001</v>
      </c>
      <c r="G828" s="129">
        <f>G829+G831</f>
        <v>15787.855009999999</v>
      </c>
      <c r="H828" s="129">
        <f>H829+H831</f>
        <v>0</v>
      </c>
    </row>
    <row r="829" spans="1:12" ht="37.15" customHeight="1" x14ac:dyDescent="0.2">
      <c r="A829" s="250" t="s">
        <v>676</v>
      </c>
      <c r="B829" s="127" t="s">
        <v>127</v>
      </c>
      <c r="C829" s="127" t="s">
        <v>113</v>
      </c>
      <c r="D829" s="127" t="s">
        <v>420</v>
      </c>
      <c r="E829" s="127" t="s">
        <v>677</v>
      </c>
      <c r="F829" s="128">
        <f>F830</f>
        <v>150</v>
      </c>
      <c r="G829" s="128">
        <f>G830</f>
        <v>150</v>
      </c>
      <c r="H829" s="128">
        <f>H830</f>
        <v>0</v>
      </c>
    </row>
    <row r="830" spans="1:12" ht="50.65" customHeight="1" x14ac:dyDescent="0.2">
      <c r="A830" s="250" t="s">
        <v>678</v>
      </c>
      <c r="B830" s="127" t="s">
        <v>127</v>
      </c>
      <c r="C830" s="127" t="s">
        <v>113</v>
      </c>
      <c r="D830" s="127" t="s">
        <v>420</v>
      </c>
      <c r="E830" s="127" t="s">
        <v>679</v>
      </c>
      <c r="F830" s="128">
        <v>150</v>
      </c>
      <c r="G830" s="128">
        <v>150</v>
      </c>
      <c r="H830" s="128">
        <f>150-150</f>
        <v>0</v>
      </c>
    </row>
    <row r="831" spans="1:12" ht="30.6" customHeight="1" x14ac:dyDescent="0.2">
      <c r="A831" s="250" t="s">
        <v>832</v>
      </c>
      <c r="B831" s="127" t="s">
        <v>127</v>
      </c>
      <c r="C831" s="127" t="s">
        <v>113</v>
      </c>
      <c r="D831" s="127" t="s">
        <v>420</v>
      </c>
      <c r="E831" s="127" t="s">
        <v>833</v>
      </c>
      <c r="F831" s="128">
        <f>F832+F833</f>
        <v>11352.968130000001</v>
      </c>
      <c r="G831" s="128">
        <f>G832+G833</f>
        <v>15637.855009999999</v>
      </c>
      <c r="H831" s="128">
        <f>H832+H833</f>
        <v>0</v>
      </c>
      <c r="J831" s="132"/>
      <c r="K831" s="132"/>
      <c r="L831" s="132"/>
    </row>
    <row r="832" spans="1:12" ht="31.15" customHeight="1" x14ac:dyDescent="0.2">
      <c r="A832" s="269" t="s">
        <v>120</v>
      </c>
      <c r="B832" s="161" t="s">
        <v>127</v>
      </c>
      <c r="C832" s="161" t="s">
        <v>113</v>
      </c>
      <c r="D832" s="161" t="s">
        <v>420</v>
      </c>
      <c r="E832" s="161" t="s">
        <v>121</v>
      </c>
      <c r="F832" s="144">
        <f>13034.59071-3896.62258</f>
        <v>9137.9681300000011</v>
      </c>
      <c r="G832" s="144">
        <v>13622.855009999999</v>
      </c>
      <c r="H832" s="144">
        <f>14404.45488-14404.45488</f>
        <v>0</v>
      </c>
    </row>
    <row r="833" spans="1:8" ht="32.25" customHeight="1" x14ac:dyDescent="0.2">
      <c r="A833" s="250" t="s">
        <v>122</v>
      </c>
      <c r="B833" s="127" t="s">
        <v>127</v>
      </c>
      <c r="C833" s="127" t="s">
        <v>113</v>
      </c>
      <c r="D833" s="127" t="s">
        <v>420</v>
      </c>
      <c r="E833" s="127" t="s">
        <v>878</v>
      </c>
      <c r="F833" s="357">
        <f>2215</f>
        <v>2215</v>
      </c>
      <c r="G833" s="128">
        <v>2015</v>
      </c>
      <c r="H833" s="128">
        <f>1815-1815</f>
        <v>0</v>
      </c>
    </row>
    <row r="834" spans="1:8" ht="94.9" hidden="1" customHeight="1" x14ac:dyDescent="0.2">
      <c r="A834" s="251" t="s">
        <v>376</v>
      </c>
      <c r="B834" s="8" t="s">
        <v>127</v>
      </c>
      <c r="C834" s="8" t="s">
        <v>113</v>
      </c>
      <c r="D834" s="127" t="s">
        <v>421</v>
      </c>
      <c r="E834" s="8" t="s">
        <v>222</v>
      </c>
      <c r="F834" s="129"/>
      <c r="G834" s="129"/>
      <c r="H834" s="129"/>
    </row>
    <row r="835" spans="1:8" ht="37.15" hidden="1" customHeight="1" x14ac:dyDescent="0.2">
      <c r="A835" s="250" t="s">
        <v>676</v>
      </c>
      <c r="B835" s="127" t="s">
        <v>127</v>
      </c>
      <c r="C835" s="127" t="s">
        <v>113</v>
      </c>
      <c r="D835" s="127" t="s">
        <v>421</v>
      </c>
      <c r="E835" s="127" t="s">
        <v>677</v>
      </c>
      <c r="F835" s="128"/>
      <c r="G835" s="128"/>
      <c r="H835" s="128"/>
    </row>
    <row r="836" spans="1:8" ht="50.65" hidden="1" customHeight="1" x14ac:dyDescent="0.2">
      <c r="A836" s="250" t="s">
        <v>678</v>
      </c>
      <c r="B836" s="127" t="s">
        <v>127</v>
      </c>
      <c r="C836" s="127" t="s">
        <v>113</v>
      </c>
      <c r="D836" s="127" t="s">
        <v>421</v>
      </c>
      <c r="E836" s="127" t="s">
        <v>679</v>
      </c>
      <c r="F836" s="128"/>
      <c r="G836" s="128"/>
      <c r="H836" s="128"/>
    </row>
    <row r="837" spans="1:8" ht="31.15" hidden="1" customHeight="1" x14ac:dyDescent="0.2">
      <c r="A837" s="250" t="s">
        <v>832</v>
      </c>
      <c r="B837" s="127" t="s">
        <v>127</v>
      </c>
      <c r="C837" s="127" t="s">
        <v>113</v>
      </c>
      <c r="D837" s="127" t="s">
        <v>421</v>
      </c>
      <c r="E837" s="127" t="s">
        <v>833</v>
      </c>
      <c r="F837" s="128"/>
      <c r="G837" s="128"/>
      <c r="H837" s="128"/>
    </row>
    <row r="838" spans="1:8" ht="32.65" hidden="1" customHeight="1" x14ac:dyDescent="0.2">
      <c r="A838" s="250" t="s">
        <v>120</v>
      </c>
      <c r="B838" s="127" t="s">
        <v>127</v>
      </c>
      <c r="C838" s="127" t="s">
        <v>113</v>
      </c>
      <c r="D838" s="127" t="s">
        <v>421</v>
      </c>
      <c r="E838" s="127" t="s">
        <v>121</v>
      </c>
      <c r="F838" s="128"/>
      <c r="G838" s="128"/>
      <c r="H838" s="128"/>
    </row>
    <row r="839" spans="1:8" s="130" customFormat="1" ht="45.75" customHeight="1" x14ac:dyDescent="0.2">
      <c r="A839" s="256" t="s">
        <v>630</v>
      </c>
      <c r="B839" s="8" t="s">
        <v>127</v>
      </c>
      <c r="C839" s="8" t="s">
        <v>113</v>
      </c>
      <c r="D839" s="147" t="s">
        <v>631</v>
      </c>
      <c r="E839" s="147" t="s">
        <v>222</v>
      </c>
      <c r="F839" s="131">
        <f>F844+F840</f>
        <v>1911.2709</v>
      </c>
      <c r="G839" s="131">
        <f t="shared" ref="G839:H839" si="177">G844+G840</f>
        <v>3590.68487</v>
      </c>
      <c r="H839" s="131">
        <f t="shared" si="177"/>
        <v>3691.67353</v>
      </c>
    </row>
    <row r="840" spans="1:8" ht="67.5" hidden="1" customHeight="1" x14ac:dyDescent="0.2">
      <c r="A840" s="285" t="s">
        <v>1110</v>
      </c>
      <c r="B840" s="127" t="s">
        <v>127</v>
      </c>
      <c r="C840" s="127" t="s">
        <v>113</v>
      </c>
      <c r="D840" s="133" t="s">
        <v>657</v>
      </c>
      <c r="E840" s="133" t="s">
        <v>222</v>
      </c>
      <c r="F840" s="357">
        <f t="shared" ref="F840:H841" si="178">F841</f>
        <v>0</v>
      </c>
      <c r="G840" s="357">
        <f t="shared" si="178"/>
        <v>0</v>
      </c>
      <c r="H840" s="357">
        <f t="shared" si="178"/>
        <v>0</v>
      </c>
    </row>
    <row r="841" spans="1:8" ht="37.9" hidden="1" customHeight="1" x14ac:dyDescent="0.2">
      <c r="A841" s="285" t="s">
        <v>832</v>
      </c>
      <c r="B841" s="127" t="s">
        <v>127</v>
      </c>
      <c r="C841" s="127" t="s">
        <v>113</v>
      </c>
      <c r="D841" s="133" t="s">
        <v>657</v>
      </c>
      <c r="E841" s="127" t="s">
        <v>833</v>
      </c>
      <c r="F841" s="357">
        <f t="shared" si="178"/>
        <v>0</v>
      </c>
      <c r="G841" s="357">
        <f t="shared" si="178"/>
        <v>0</v>
      </c>
      <c r="H841" s="357">
        <f t="shared" si="178"/>
        <v>0</v>
      </c>
    </row>
    <row r="842" spans="1:8" ht="41.45" hidden="1" customHeight="1" x14ac:dyDescent="0.2">
      <c r="A842" s="250" t="s">
        <v>122</v>
      </c>
      <c r="B842" s="127" t="s">
        <v>127</v>
      </c>
      <c r="C842" s="127" t="s">
        <v>113</v>
      </c>
      <c r="D842" s="133" t="s">
        <v>657</v>
      </c>
      <c r="E842" s="127" t="s">
        <v>878</v>
      </c>
      <c r="F842" s="357">
        <f>'5'!D245</f>
        <v>0</v>
      </c>
      <c r="G842" s="357">
        <f>'5'!E245</f>
        <v>0</v>
      </c>
      <c r="H842" s="357">
        <f>'5'!F245</f>
        <v>0</v>
      </c>
    </row>
    <row r="843" spans="1:8" ht="73.5" customHeight="1" x14ac:dyDescent="0.2">
      <c r="A843" s="285" t="s">
        <v>1111</v>
      </c>
      <c r="B843" s="127" t="s">
        <v>127</v>
      </c>
      <c r="C843" s="127" t="s">
        <v>113</v>
      </c>
      <c r="D843" s="133" t="s">
        <v>632</v>
      </c>
      <c r="E843" s="133" t="s">
        <v>222</v>
      </c>
      <c r="F843" s="357">
        <f t="shared" ref="F843:H844" si="179">F844</f>
        <v>1911.2709</v>
      </c>
      <c r="G843" s="357">
        <f t="shared" si="179"/>
        <v>3590.68487</v>
      </c>
      <c r="H843" s="357">
        <f t="shared" si="179"/>
        <v>3691.67353</v>
      </c>
    </row>
    <row r="844" spans="1:8" ht="26.25" customHeight="1" x14ac:dyDescent="0.2">
      <c r="A844" s="285" t="s">
        <v>832</v>
      </c>
      <c r="B844" s="127" t="s">
        <v>127</v>
      </c>
      <c r="C844" s="127" t="s">
        <v>113</v>
      </c>
      <c r="D844" s="133" t="s">
        <v>632</v>
      </c>
      <c r="E844" s="127" t="s">
        <v>833</v>
      </c>
      <c r="F844" s="357">
        <f t="shared" si="179"/>
        <v>1911.2709</v>
      </c>
      <c r="G844" s="357">
        <f t="shared" si="179"/>
        <v>3590.68487</v>
      </c>
      <c r="H844" s="357">
        <f t="shared" si="179"/>
        <v>3691.67353</v>
      </c>
    </row>
    <row r="845" spans="1:8" ht="40.15" customHeight="1" x14ac:dyDescent="0.2">
      <c r="A845" s="250" t="s">
        <v>122</v>
      </c>
      <c r="B845" s="127" t="s">
        <v>127</v>
      </c>
      <c r="C845" s="127" t="s">
        <v>113</v>
      </c>
      <c r="D845" s="133" t="s">
        <v>632</v>
      </c>
      <c r="E845" s="127" t="s">
        <v>878</v>
      </c>
      <c r="F845" s="357">
        <f>'5'!D246</f>
        <v>1911.2709</v>
      </c>
      <c r="G845" s="357">
        <f>'5'!E246</f>
        <v>3590.68487</v>
      </c>
      <c r="H845" s="357">
        <f>'5'!F246</f>
        <v>3691.67353</v>
      </c>
    </row>
    <row r="846" spans="1:8" s="143" customFormat="1" ht="49.5" customHeight="1" x14ac:dyDescent="0.25">
      <c r="A846" s="252" t="s">
        <v>669</v>
      </c>
      <c r="B846" s="145" t="s">
        <v>127</v>
      </c>
      <c r="C846" s="145" t="s">
        <v>113</v>
      </c>
      <c r="D846" s="154" t="s">
        <v>6</v>
      </c>
      <c r="E846" s="154" t="s">
        <v>222</v>
      </c>
      <c r="F846" s="418">
        <f>F847</f>
        <v>0</v>
      </c>
      <c r="G846" s="418">
        <f t="shared" ref="G846:H846" si="180">G847</f>
        <v>0</v>
      </c>
      <c r="H846" s="418">
        <f t="shared" si="180"/>
        <v>38953.454879999998</v>
      </c>
    </row>
    <row r="847" spans="1:8" ht="54" customHeight="1" x14ac:dyDescent="0.2">
      <c r="A847" s="251" t="s">
        <v>110</v>
      </c>
      <c r="B847" s="8" t="s">
        <v>127</v>
      </c>
      <c r="C847" s="8" t="s">
        <v>113</v>
      </c>
      <c r="D847" s="147" t="s">
        <v>6</v>
      </c>
      <c r="E847" s="147" t="s">
        <v>222</v>
      </c>
      <c r="F847" s="131">
        <f>F848+F851+F854</f>
        <v>0</v>
      </c>
      <c r="G847" s="131">
        <f t="shared" ref="G847" si="181">G848+G851+G854</f>
        <v>0</v>
      </c>
      <c r="H847" s="131">
        <f>H848+H851+H854</f>
        <v>38953.454879999998</v>
      </c>
    </row>
    <row r="848" spans="1:8" s="130" customFormat="1" ht="102.75" customHeight="1" x14ac:dyDescent="0.2">
      <c r="A848" s="251" t="s">
        <v>963</v>
      </c>
      <c r="B848" s="8" t="s">
        <v>127</v>
      </c>
      <c r="C848" s="8" t="s">
        <v>113</v>
      </c>
      <c r="D848" s="147" t="s">
        <v>1047</v>
      </c>
      <c r="E848" s="147" t="s">
        <v>222</v>
      </c>
      <c r="F848" s="131">
        <f>F849</f>
        <v>0</v>
      </c>
      <c r="G848" s="131">
        <f t="shared" ref="G848:H849" si="182">G849</f>
        <v>0</v>
      </c>
      <c r="H848" s="131">
        <f t="shared" si="182"/>
        <v>9033.6</v>
      </c>
    </row>
    <row r="849" spans="1:8" ht="51" customHeight="1" x14ac:dyDescent="0.2">
      <c r="A849" s="250" t="s">
        <v>729</v>
      </c>
      <c r="B849" s="8" t="s">
        <v>127</v>
      </c>
      <c r="C849" s="8" t="s">
        <v>113</v>
      </c>
      <c r="D849" s="133" t="s">
        <v>1047</v>
      </c>
      <c r="E849" s="133" t="s">
        <v>730</v>
      </c>
      <c r="F849" s="128">
        <f>F850</f>
        <v>0</v>
      </c>
      <c r="G849" s="128">
        <f t="shared" si="182"/>
        <v>0</v>
      </c>
      <c r="H849" s="128">
        <f t="shared" si="182"/>
        <v>9033.6</v>
      </c>
    </row>
    <row r="850" spans="1:8" ht="19.149999999999999" customHeight="1" x14ac:dyDescent="0.2">
      <c r="A850" s="250" t="s">
        <v>731</v>
      </c>
      <c r="B850" s="8" t="s">
        <v>127</v>
      </c>
      <c r="C850" s="8" t="s">
        <v>113</v>
      </c>
      <c r="D850" s="133" t="s">
        <v>1047</v>
      </c>
      <c r="E850" s="133" t="s">
        <v>732</v>
      </c>
      <c r="F850" s="128">
        <v>0</v>
      </c>
      <c r="G850" s="128">
        <v>0</v>
      </c>
      <c r="H850" s="128">
        <v>9033.6</v>
      </c>
    </row>
    <row r="851" spans="1:8" s="130" customFormat="1" ht="103.5" customHeight="1" x14ac:dyDescent="0.2">
      <c r="A851" s="251" t="s">
        <v>964</v>
      </c>
      <c r="B851" s="8" t="s">
        <v>127</v>
      </c>
      <c r="C851" s="8" t="s">
        <v>113</v>
      </c>
      <c r="D851" s="8" t="s">
        <v>503</v>
      </c>
      <c r="E851" s="8" t="s">
        <v>222</v>
      </c>
      <c r="F851" s="129">
        <f>F852</f>
        <v>0</v>
      </c>
      <c r="G851" s="129">
        <f t="shared" ref="G851:H852" si="183">G852</f>
        <v>0</v>
      </c>
      <c r="H851" s="129">
        <f t="shared" si="183"/>
        <v>13550.4</v>
      </c>
    </row>
    <row r="852" spans="1:8" ht="56.25" customHeight="1" x14ac:dyDescent="0.2">
      <c r="A852" s="250" t="s">
        <v>729</v>
      </c>
      <c r="B852" s="127" t="s">
        <v>127</v>
      </c>
      <c r="C852" s="127" t="s">
        <v>113</v>
      </c>
      <c r="D852" s="127" t="s">
        <v>503</v>
      </c>
      <c r="E852" s="127" t="s">
        <v>730</v>
      </c>
      <c r="F852" s="128">
        <f>F853</f>
        <v>0</v>
      </c>
      <c r="G852" s="128">
        <f t="shared" si="183"/>
        <v>0</v>
      </c>
      <c r="H852" s="128">
        <f t="shared" si="183"/>
        <v>13550.4</v>
      </c>
    </row>
    <row r="853" spans="1:8" ht="22.9" customHeight="1" x14ac:dyDescent="0.2">
      <c r="A853" s="250" t="s">
        <v>731</v>
      </c>
      <c r="B853" s="127" t="s">
        <v>127</v>
      </c>
      <c r="C853" s="127" t="s">
        <v>113</v>
      </c>
      <c r="D853" s="127" t="s">
        <v>503</v>
      </c>
      <c r="E853" s="127" t="s">
        <v>732</v>
      </c>
      <c r="F853" s="128">
        <v>0</v>
      </c>
      <c r="G853" s="128">
        <v>0</v>
      </c>
      <c r="H853" s="128">
        <v>13550.4</v>
      </c>
    </row>
    <row r="854" spans="1:8" s="130" customFormat="1" ht="122.25" customHeight="1" x14ac:dyDescent="0.2">
      <c r="A854" s="251" t="s">
        <v>375</v>
      </c>
      <c r="B854" s="8" t="s">
        <v>127</v>
      </c>
      <c r="C854" s="8" t="s">
        <v>113</v>
      </c>
      <c r="D854" s="8" t="s">
        <v>382</v>
      </c>
      <c r="E854" s="8" t="s">
        <v>222</v>
      </c>
      <c r="F854" s="129">
        <f>F855+F857</f>
        <v>0</v>
      </c>
      <c r="G854" s="129">
        <f t="shared" ref="G854:H854" si="184">G855+G857</f>
        <v>0</v>
      </c>
      <c r="H854" s="129">
        <f t="shared" si="184"/>
        <v>16369.454879999999</v>
      </c>
    </row>
    <row r="855" spans="1:8" ht="40.15" customHeight="1" x14ac:dyDescent="0.2">
      <c r="A855" s="250" t="s">
        <v>676</v>
      </c>
      <c r="B855" s="127" t="s">
        <v>127</v>
      </c>
      <c r="C855" s="127" t="s">
        <v>113</v>
      </c>
      <c r="D855" s="127" t="s">
        <v>382</v>
      </c>
      <c r="E855" s="127" t="s">
        <v>677</v>
      </c>
      <c r="F855" s="128">
        <f>F856</f>
        <v>0</v>
      </c>
      <c r="G855" s="128">
        <f t="shared" ref="G855:H855" si="185">G856</f>
        <v>0</v>
      </c>
      <c r="H855" s="128">
        <f t="shared" si="185"/>
        <v>150</v>
      </c>
    </row>
    <row r="856" spans="1:8" ht="57.75" customHeight="1" x14ac:dyDescent="0.2">
      <c r="A856" s="250" t="s">
        <v>678</v>
      </c>
      <c r="B856" s="127" t="s">
        <v>127</v>
      </c>
      <c r="C856" s="127" t="s">
        <v>113</v>
      </c>
      <c r="D856" s="127" t="s">
        <v>382</v>
      </c>
      <c r="E856" s="127" t="s">
        <v>679</v>
      </c>
      <c r="F856" s="128">
        <v>0</v>
      </c>
      <c r="G856" s="128">
        <v>0</v>
      </c>
      <c r="H856" s="128">
        <v>150</v>
      </c>
    </row>
    <row r="857" spans="1:8" ht="38.25" customHeight="1" x14ac:dyDescent="0.2">
      <c r="A857" s="250" t="s">
        <v>832</v>
      </c>
      <c r="B857" s="127" t="s">
        <v>127</v>
      </c>
      <c r="C857" s="127" t="s">
        <v>113</v>
      </c>
      <c r="D857" s="127" t="s">
        <v>382</v>
      </c>
      <c r="E857" s="127" t="s">
        <v>833</v>
      </c>
      <c r="F857" s="128">
        <f>F858+F859</f>
        <v>0</v>
      </c>
      <c r="G857" s="128">
        <f t="shared" ref="G857:H857" si="186">G858+G859</f>
        <v>0</v>
      </c>
      <c r="H857" s="128">
        <f t="shared" si="186"/>
        <v>16219.454879999999</v>
      </c>
    </row>
    <row r="858" spans="1:8" ht="34.9" customHeight="1" x14ac:dyDescent="0.2">
      <c r="A858" s="250" t="s">
        <v>120</v>
      </c>
      <c r="B858" s="127" t="s">
        <v>127</v>
      </c>
      <c r="C858" s="127" t="s">
        <v>113</v>
      </c>
      <c r="D858" s="127" t="s">
        <v>382</v>
      </c>
      <c r="E858" s="127" t="s">
        <v>121</v>
      </c>
      <c r="F858" s="128">
        <v>0</v>
      </c>
      <c r="G858" s="128">
        <v>0</v>
      </c>
      <c r="H858" s="128">
        <v>14404.454879999999</v>
      </c>
    </row>
    <row r="859" spans="1:8" ht="33" customHeight="1" x14ac:dyDescent="0.2">
      <c r="A859" s="250" t="s">
        <v>122</v>
      </c>
      <c r="B859" s="127" t="s">
        <v>127</v>
      </c>
      <c r="C859" s="127" t="s">
        <v>113</v>
      </c>
      <c r="D859" s="127" t="s">
        <v>382</v>
      </c>
      <c r="E859" s="127" t="s">
        <v>878</v>
      </c>
      <c r="F859" s="128">
        <v>0</v>
      </c>
      <c r="G859" s="128">
        <v>0</v>
      </c>
      <c r="H859" s="128">
        <v>1815</v>
      </c>
    </row>
    <row r="860" spans="1:8" ht="40.15" customHeight="1" x14ac:dyDescent="0.2">
      <c r="A860" s="278" t="s">
        <v>1044</v>
      </c>
      <c r="B860" s="216" t="s">
        <v>127</v>
      </c>
      <c r="C860" s="216" t="s">
        <v>687</v>
      </c>
      <c r="D860" s="216" t="s">
        <v>1045</v>
      </c>
      <c r="E860" s="216" t="s">
        <v>222</v>
      </c>
      <c r="F860" s="286">
        <f>F861</f>
        <v>2582.8830000000003</v>
      </c>
      <c r="G860" s="286">
        <f t="shared" ref="G860:H861" si="187">G861</f>
        <v>2607.136</v>
      </c>
      <c r="H860" s="286">
        <f t="shared" si="187"/>
        <v>2705.1170000000002</v>
      </c>
    </row>
    <row r="861" spans="1:8" s="102" customFormat="1" ht="40.15" customHeight="1" x14ac:dyDescent="0.2">
      <c r="A861" s="252" t="s">
        <v>669</v>
      </c>
      <c r="B861" s="127" t="s">
        <v>127</v>
      </c>
      <c r="C861" s="127" t="s">
        <v>687</v>
      </c>
      <c r="D861" s="145" t="s">
        <v>5</v>
      </c>
      <c r="E861" s="145" t="s">
        <v>222</v>
      </c>
      <c r="F861" s="146">
        <f>F862</f>
        <v>2582.8830000000003</v>
      </c>
      <c r="G861" s="146">
        <f t="shared" si="187"/>
        <v>2607.136</v>
      </c>
      <c r="H861" s="146">
        <f t="shared" si="187"/>
        <v>2705.1170000000002</v>
      </c>
    </row>
    <row r="862" spans="1:8" s="102" customFormat="1" ht="90" customHeight="1" x14ac:dyDescent="0.2">
      <c r="A862" s="251" t="s">
        <v>847</v>
      </c>
      <c r="B862" s="127" t="s">
        <v>127</v>
      </c>
      <c r="C862" s="127" t="s">
        <v>687</v>
      </c>
      <c r="D862" s="8" t="s">
        <v>381</v>
      </c>
      <c r="E862" s="8" t="s">
        <v>222</v>
      </c>
      <c r="F862" s="129">
        <f>F863+F865</f>
        <v>2582.8830000000003</v>
      </c>
      <c r="G862" s="129">
        <f>G863+G865</f>
        <v>2607.136</v>
      </c>
      <c r="H862" s="129">
        <f>H863+H865</f>
        <v>2705.1170000000002</v>
      </c>
    </row>
    <row r="863" spans="1:8" s="102" customFormat="1" ht="105.75" customHeight="1" x14ac:dyDescent="0.2">
      <c r="A863" s="250" t="s">
        <v>670</v>
      </c>
      <c r="B863" s="127" t="s">
        <v>127</v>
      </c>
      <c r="C863" s="127" t="s">
        <v>687</v>
      </c>
      <c r="D863" s="127" t="s">
        <v>381</v>
      </c>
      <c r="E863" s="127" t="s">
        <v>671</v>
      </c>
      <c r="F863" s="128">
        <f>F864</f>
        <v>2288.3009300000003</v>
      </c>
      <c r="G863" s="128">
        <f>G864</f>
        <v>2163.38</v>
      </c>
      <c r="H863" s="128">
        <f>H864</f>
        <v>2163.38</v>
      </c>
    </row>
    <row r="864" spans="1:8" ht="40.15" customHeight="1" x14ac:dyDescent="0.2">
      <c r="A864" s="250" t="s">
        <v>672</v>
      </c>
      <c r="B864" s="127" t="s">
        <v>127</v>
      </c>
      <c r="C864" s="127" t="s">
        <v>687</v>
      </c>
      <c r="D864" s="127" t="s">
        <v>381</v>
      </c>
      <c r="E864" s="127" t="s">
        <v>673</v>
      </c>
      <c r="F864" s="357">
        <f>2163.38+124.92093</f>
        <v>2288.3009300000003</v>
      </c>
      <c r="G864" s="357">
        <f>2163.38</f>
        <v>2163.38</v>
      </c>
      <c r="H864" s="357">
        <f>2163.38</f>
        <v>2163.38</v>
      </c>
    </row>
    <row r="865" spans="1:8" ht="40.15" customHeight="1" x14ac:dyDescent="0.2">
      <c r="A865" s="250" t="s">
        <v>676</v>
      </c>
      <c r="B865" s="127" t="s">
        <v>127</v>
      </c>
      <c r="C865" s="127" t="s">
        <v>687</v>
      </c>
      <c r="D865" s="127" t="s">
        <v>381</v>
      </c>
      <c r="E865" s="127" t="s">
        <v>677</v>
      </c>
      <c r="F865" s="128">
        <f>F866</f>
        <v>294.58206999999999</v>
      </c>
      <c r="G865" s="128">
        <f>G866</f>
        <v>443.75599999999997</v>
      </c>
      <c r="H865" s="128">
        <f>H866</f>
        <v>541.73699999999997</v>
      </c>
    </row>
    <row r="866" spans="1:8" ht="55.5" customHeight="1" x14ac:dyDescent="0.2">
      <c r="A866" s="250" t="s">
        <v>678</v>
      </c>
      <c r="B866" s="127" t="s">
        <v>127</v>
      </c>
      <c r="C866" s="127" t="s">
        <v>687</v>
      </c>
      <c r="D866" s="127" t="s">
        <v>381</v>
      </c>
      <c r="E866" s="127" t="s">
        <v>679</v>
      </c>
      <c r="F866" s="128">
        <f>419.503-124.92093</f>
        <v>294.58206999999999</v>
      </c>
      <c r="G866" s="128">
        <v>443.75599999999997</v>
      </c>
      <c r="H866" s="128">
        <v>541.73699999999997</v>
      </c>
    </row>
    <row r="867" spans="1:8" s="143" customFormat="1" ht="19.149999999999999" customHeight="1" x14ac:dyDescent="0.25">
      <c r="A867" s="260" t="s">
        <v>886</v>
      </c>
      <c r="B867" s="118" t="s">
        <v>692</v>
      </c>
      <c r="C867" s="118" t="s">
        <v>109</v>
      </c>
      <c r="D867" s="118" t="s">
        <v>666</v>
      </c>
      <c r="E867" s="118" t="s">
        <v>222</v>
      </c>
      <c r="F867" s="119">
        <f t="shared" ref="F867:H868" si="188">F868</f>
        <v>650</v>
      </c>
      <c r="G867" s="119">
        <f t="shared" si="188"/>
        <v>250</v>
      </c>
      <c r="H867" s="119">
        <f t="shared" si="188"/>
        <v>300</v>
      </c>
    </row>
    <row r="868" spans="1:8" ht="15.75" customHeight="1" x14ac:dyDescent="0.2">
      <c r="A868" s="249" t="s">
        <v>887</v>
      </c>
      <c r="B868" s="122" t="s">
        <v>692</v>
      </c>
      <c r="C868" s="122" t="s">
        <v>668</v>
      </c>
      <c r="D868" s="122" t="s">
        <v>666</v>
      </c>
      <c r="E868" s="122" t="s">
        <v>222</v>
      </c>
      <c r="F868" s="123">
        <f t="shared" si="188"/>
        <v>650</v>
      </c>
      <c r="G868" s="123">
        <f t="shared" si="188"/>
        <v>250</v>
      </c>
      <c r="H868" s="123">
        <f t="shared" si="188"/>
        <v>300</v>
      </c>
    </row>
    <row r="869" spans="1:8" ht="69" customHeight="1" x14ac:dyDescent="0.2">
      <c r="A869" s="251" t="s">
        <v>557</v>
      </c>
      <c r="B869" s="8" t="s">
        <v>692</v>
      </c>
      <c r="C869" s="8" t="s">
        <v>668</v>
      </c>
      <c r="D869" s="8" t="s">
        <v>71</v>
      </c>
      <c r="E869" s="8" t="s">
        <v>222</v>
      </c>
      <c r="F869" s="129">
        <f>F870+F890+F899+F903+F910+F917</f>
        <v>650</v>
      </c>
      <c r="G869" s="129">
        <f>G870+G890+G899+G903+G910+G917</f>
        <v>250</v>
      </c>
      <c r="H869" s="129">
        <f>H870+H890+H899+H903+H910+H917</f>
        <v>300</v>
      </c>
    </row>
    <row r="870" spans="1:8" ht="36" customHeight="1" x14ac:dyDescent="0.2">
      <c r="A870" s="250" t="s">
        <v>888</v>
      </c>
      <c r="B870" s="127" t="s">
        <v>692</v>
      </c>
      <c r="C870" s="127" t="s">
        <v>668</v>
      </c>
      <c r="D870" s="127" t="s">
        <v>72</v>
      </c>
      <c r="E870" s="127" t="s">
        <v>222</v>
      </c>
      <c r="F870" s="128">
        <f>F871+F888</f>
        <v>150</v>
      </c>
      <c r="G870" s="128">
        <f>G871+G888</f>
        <v>250</v>
      </c>
      <c r="H870" s="128">
        <f>H871+H888</f>
        <v>300</v>
      </c>
    </row>
    <row r="871" spans="1:8" ht="39.75" customHeight="1" x14ac:dyDescent="0.2">
      <c r="A871" s="250" t="s">
        <v>676</v>
      </c>
      <c r="B871" s="127" t="s">
        <v>692</v>
      </c>
      <c r="C871" s="127" t="s">
        <v>668</v>
      </c>
      <c r="D871" s="127" t="s">
        <v>72</v>
      </c>
      <c r="E871" s="127" t="s">
        <v>677</v>
      </c>
      <c r="F871" s="128">
        <f>F872</f>
        <v>150</v>
      </c>
      <c r="G871" s="128">
        <f>G872</f>
        <v>250</v>
      </c>
      <c r="H871" s="128">
        <f>H872</f>
        <v>300</v>
      </c>
    </row>
    <row r="872" spans="1:8" ht="52.5" customHeight="1" x14ac:dyDescent="0.2">
      <c r="A872" s="250" t="s">
        <v>678</v>
      </c>
      <c r="B872" s="127" t="s">
        <v>692</v>
      </c>
      <c r="C872" s="127" t="s">
        <v>668</v>
      </c>
      <c r="D872" s="127" t="s">
        <v>72</v>
      </c>
      <c r="E872" s="127" t="s">
        <v>679</v>
      </c>
      <c r="F872" s="357">
        <f>'5'!D123</f>
        <v>150</v>
      </c>
      <c r="G872" s="357">
        <f>'5'!E123</f>
        <v>250</v>
      </c>
      <c r="H872" s="357">
        <f>'5'!F123</f>
        <v>300</v>
      </c>
    </row>
    <row r="873" spans="1:8" ht="49.5" hidden="1" customHeight="1" x14ac:dyDescent="0.2">
      <c r="A873" s="252" t="s">
        <v>334</v>
      </c>
      <c r="B873" s="127" t="s">
        <v>692</v>
      </c>
      <c r="C873" s="127" t="s">
        <v>668</v>
      </c>
      <c r="D873" s="127" t="s">
        <v>72</v>
      </c>
      <c r="E873" s="145" t="s">
        <v>222</v>
      </c>
      <c r="F873" s="349"/>
      <c r="G873" s="146"/>
      <c r="H873" s="146"/>
    </row>
    <row r="874" spans="1:8" ht="83.25" hidden="1" customHeight="1" x14ac:dyDescent="0.2">
      <c r="A874" s="251" t="s">
        <v>889</v>
      </c>
      <c r="B874" s="127" t="s">
        <v>692</v>
      </c>
      <c r="C874" s="127" t="s">
        <v>668</v>
      </c>
      <c r="D874" s="127" t="s">
        <v>72</v>
      </c>
      <c r="E874" s="8" t="s">
        <v>222</v>
      </c>
      <c r="F874" s="131"/>
      <c r="G874" s="129"/>
      <c r="H874" s="129"/>
    </row>
    <row r="875" spans="1:8" ht="39.75" hidden="1" customHeight="1" x14ac:dyDescent="0.2">
      <c r="A875" s="250" t="s">
        <v>676</v>
      </c>
      <c r="B875" s="127" t="s">
        <v>692</v>
      </c>
      <c r="C875" s="127" t="s">
        <v>668</v>
      </c>
      <c r="D875" s="127" t="s">
        <v>72</v>
      </c>
      <c r="E875" s="127" t="s">
        <v>677</v>
      </c>
      <c r="F875" s="357"/>
      <c r="G875" s="128"/>
      <c r="H875" s="128"/>
    </row>
    <row r="876" spans="1:8" ht="64.5" hidden="1" customHeight="1" x14ac:dyDescent="0.2">
      <c r="A876" s="250" t="s">
        <v>890</v>
      </c>
      <c r="B876" s="127" t="s">
        <v>692</v>
      </c>
      <c r="C876" s="127" t="s">
        <v>668</v>
      </c>
      <c r="D876" s="127" t="s">
        <v>72</v>
      </c>
      <c r="E876" s="127" t="s">
        <v>679</v>
      </c>
      <c r="F876" s="357"/>
      <c r="G876" s="128"/>
      <c r="H876" s="128"/>
    </row>
    <row r="877" spans="1:8" ht="47.65" hidden="1" customHeight="1" x14ac:dyDescent="0.2">
      <c r="A877" s="250" t="s">
        <v>729</v>
      </c>
      <c r="B877" s="127" t="s">
        <v>692</v>
      </c>
      <c r="C877" s="127" t="s">
        <v>668</v>
      </c>
      <c r="D877" s="127" t="s">
        <v>72</v>
      </c>
      <c r="E877" s="127" t="s">
        <v>730</v>
      </c>
      <c r="F877" s="357"/>
      <c r="G877" s="128"/>
      <c r="H877" s="128"/>
    </row>
    <row r="878" spans="1:8" ht="15.6" hidden="1" customHeight="1" x14ac:dyDescent="0.2">
      <c r="A878" s="250" t="s">
        <v>731</v>
      </c>
      <c r="B878" s="127" t="s">
        <v>692</v>
      </c>
      <c r="C878" s="127" t="s">
        <v>668</v>
      </c>
      <c r="D878" s="127" t="s">
        <v>72</v>
      </c>
      <c r="E878" s="127" t="s">
        <v>732</v>
      </c>
      <c r="F878" s="357"/>
      <c r="G878" s="128"/>
      <c r="H878" s="128"/>
    </row>
    <row r="879" spans="1:8" ht="30" hidden="1" customHeight="1" x14ac:dyDescent="0.2">
      <c r="A879" s="250" t="s">
        <v>891</v>
      </c>
      <c r="B879" s="127" t="s">
        <v>692</v>
      </c>
      <c r="C879" s="127" t="s">
        <v>668</v>
      </c>
      <c r="D879" s="127" t="s">
        <v>72</v>
      </c>
      <c r="E879" s="127" t="s">
        <v>714</v>
      </c>
      <c r="F879" s="357"/>
      <c r="G879" s="128"/>
      <c r="H879" s="128"/>
    </row>
    <row r="880" spans="1:8" ht="19.899999999999999" hidden="1" customHeight="1" x14ac:dyDescent="0.2">
      <c r="A880" s="250" t="s">
        <v>116</v>
      </c>
      <c r="B880" s="127" t="s">
        <v>692</v>
      </c>
      <c r="C880" s="127" t="s">
        <v>668</v>
      </c>
      <c r="D880" s="127" t="s">
        <v>72</v>
      </c>
      <c r="E880" s="127" t="s">
        <v>165</v>
      </c>
      <c r="F880" s="357"/>
      <c r="G880" s="128"/>
      <c r="H880" s="128"/>
    </row>
    <row r="881" spans="1:8" ht="97.5" hidden="1" customHeight="1" x14ac:dyDescent="0.2">
      <c r="A881" s="251" t="s">
        <v>892</v>
      </c>
      <c r="B881" s="127" t="s">
        <v>692</v>
      </c>
      <c r="C881" s="127" t="s">
        <v>668</v>
      </c>
      <c r="D881" s="127" t="s">
        <v>72</v>
      </c>
      <c r="E881" s="8" t="s">
        <v>222</v>
      </c>
      <c r="F881" s="131"/>
      <c r="G881" s="129"/>
      <c r="H881" s="129"/>
    </row>
    <row r="882" spans="1:8" ht="38.25" hidden="1" customHeight="1" x14ac:dyDescent="0.2">
      <c r="A882" s="250" t="s">
        <v>676</v>
      </c>
      <c r="B882" s="127" t="s">
        <v>692</v>
      </c>
      <c r="C882" s="127" t="s">
        <v>668</v>
      </c>
      <c r="D882" s="127" t="s">
        <v>72</v>
      </c>
      <c r="E882" s="127" t="s">
        <v>677</v>
      </c>
      <c r="F882" s="357"/>
      <c r="G882" s="128"/>
      <c r="H882" s="128"/>
    </row>
    <row r="883" spans="1:8" ht="49.15" hidden="1" customHeight="1" x14ac:dyDescent="0.2">
      <c r="A883" s="250" t="s">
        <v>890</v>
      </c>
      <c r="B883" s="127" t="s">
        <v>692</v>
      </c>
      <c r="C883" s="127" t="s">
        <v>668</v>
      </c>
      <c r="D883" s="127" t="s">
        <v>72</v>
      </c>
      <c r="E883" s="127" t="s">
        <v>679</v>
      </c>
      <c r="F883" s="357"/>
      <c r="G883" s="128"/>
      <c r="H883" s="128"/>
    </row>
    <row r="884" spans="1:8" ht="49.5" hidden="1" customHeight="1" x14ac:dyDescent="0.2">
      <c r="A884" s="250" t="s">
        <v>729</v>
      </c>
      <c r="B884" s="127" t="s">
        <v>692</v>
      </c>
      <c r="C884" s="127" t="s">
        <v>668</v>
      </c>
      <c r="D884" s="127" t="s">
        <v>72</v>
      </c>
      <c r="E884" s="127" t="s">
        <v>730</v>
      </c>
      <c r="F884" s="357"/>
      <c r="G884" s="128"/>
      <c r="H884" s="128"/>
    </row>
    <row r="885" spans="1:8" ht="18" hidden="1" customHeight="1" x14ac:dyDescent="0.2">
      <c r="A885" s="250" t="s">
        <v>731</v>
      </c>
      <c r="B885" s="127" t="s">
        <v>692</v>
      </c>
      <c r="C885" s="127" t="s">
        <v>668</v>
      </c>
      <c r="D885" s="127" t="s">
        <v>72</v>
      </c>
      <c r="E885" s="127" t="s">
        <v>732</v>
      </c>
      <c r="F885" s="357"/>
      <c r="G885" s="128"/>
      <c r="H885" s="128"/>
    </row>
    <row r="886" spans="1:8" ht="45" hidden="1" customHeight="1" x14ac:dyDescent="0.2">
      <c r="A886" s="250" t="s">
        <v>891</v>
      </c>
      <c r="B886" s="127" t="s">
        <v>692</v>
      </c>
      <c r="C886" s="127" t="s">
        <v>668</v>
      </c>
      <c r="D886" s="127" t="s">
        <v>72</v>
      </c>
      <c r="E886" s="127" t="s">
        <v>714</v>
      </c>
      <c r="F886" s="357">
        <f t="shared" ref="F886:H888" si="189">F887</f>
        <v>0</v>
      </c>
      <c r="G886" s="128">
        <f t="shared" si="189"/>
        <v>0</v>
      </c>
      <c r="H886" s="128">
        <f t="shared" si="189"/>
        <v>0</v>
      </c>
    </row>
    <row r="887" spans="1:8" ht="18" hidden="1" customHeight="1" x14ac:dyDescent="0.2">
      <c r="A887" s="250" t="s">
        <v>116</v>
      </c>
      <c r="B887" s="127" t="s">
        <v>692</v>
      </c>
      <c r="C887" s="127" t="s">
        <v>668</v>
      </c>
      <c r="D887" s="127" t="s">
        <v>72</v>
      </c>
      <c r="E887" s="127" t="s">
        <v>165</v>
      </c>
      <c r="F887" s="357">
        <f t="shared" si="189"/>
        <v>0</v>
      </c>
      <c r="G887" s="128">
        <f t="shared" si="189"/>
        <v>0</v>
      </c>
      <c r="H887" s="128">
        <f t="shared" si="189"/>
        <v>0</v>
      </c>
    </row>
    <row r="888" spans="1:8" ht="55.15" hidden="1" customHeight="1" x14ac:dyDescent="0.2">
      <c r="A888" s="250" t="s">
        <v>891</v>
      </c>
      <c r="B888" s="127" t="s">
        <v>692</v>
      </c>
      <c r="C888" s="127" t="s">
        <v>668</v>
      </c>
      <c r="D888" s="127" t="s">
        <v>72</v>
      </c>
      <c r="E888" s="127" t="s">
        <v>714</v>
      </c>
      <c r="F888" s="357">
        <f t="shared" si="189"/>
        <v>0</v>
      </c>
      <c r="G888" s="128">
        <f t="shared" si="189"/>
        <v>0</v>
      </c>
      <c r="H888" s="128">
        <f t="shared" si="189"/>
        <v>0</v>
      </c>
    </row>
    <row r="889" spans="1:8" ht="18" hidden="1" customHeight="1" x14ac:dyDescent="0.2">
      <c r="A889" s="250" t="s">
        <v>116</v>
      </c>
      <c r="B889" s="127" t="s">
        <v>692</v>
      </c>
      <c r="C889" s="127" t="s">
        <v>668</v>
      </c>
      <c r="D889" s="127" t="s">
        <v>72</v>
      </c>
      <c r="E889" s="127" t="s">
        <v>165</v>
      </c>
      <c r="F889" s="357">
        <v>0</v>
      </c>
      <c r="G889" s="128">
        <v>0</v>
      </c>
      <c r="H889" s="128">
        <v>0</v>
      </c>
    </row>
    <row r="890" spans="1:8" ht="51" hidden="1" customHeight="1" x14ac:dyDescent="0.2">
      <c r="A890" s="256" t="s">
        <v>404</v>
      </c>
      <c r="B890" s="147" t="s">
        <v>692</v>
      </c>
      <c r="C890" s="147" t="s">
        <v>668</v>
      </c>
      <c r="D890" s="147" t="s">
        <v>403</v>
      </c>
      <c r="E890" s="147" t="s">
        <v>222</v>
      </c>
      <c r="F890" s="131">
        <f>F891+F893</f>
        <v>0</v>
      </c>
      <c r="G890" s="131">
        <f>G891+G893</f>
        <v>0</v>
      </c>
      <c r="H890" s="131">
        <f>H891+H893</f>
        <v>0</v>
      </c>
    </row>
    <row r="891" spans="1:8" ht="36" hidden="1" customHeight="1" x14ac:dyDescent="0.2">
      <c r="A891" s="257" t="s">
        <v>676</v>
      </c>
      <c r="B891" s="133" t="s">
        <v>692</v>
      </c>
      <c r="C891" s="133" t="s">
        <v>668</v>
      </c>
      <c r="D891" s="133" t="s">
        <v>403</v>
      </c>
      <c r="E891" s="133" t="s">
        <v>677</v>
      </c>
      <c r="F891" s="357">
        <f>F892</f>
        <v>0</v>
      </c>
      <c r="G891" s="357">
        <f>G892</f>
        <v>0</v>
      </c>
      <c r="H891" s="357">
        <f>H892</f>
        <v>0</v>
      </c>
    </row>
    <row r="892" spans="1:8" ht="47.45" hidden="1" customHeight="1" x14ac:dyDescent="0.2">
      <c r="A892" s="257" t="s">
        <v>678</v>
      </c>
      <c r="B892" s="133" t="s">
        <v>692</v>
      </c>
      <c r="C892" s="133" t="s">
        <v>668</v>
      </c>
      <c r="D892" s="133" t="s">
        <v>403</v>
      </c>
      <c r="E892" s="133" t="s">
        <v>679</v>
      </c>
      <c r="F892" s="357">
        <v>0</v>
      </c>
      <c r="G892" s="357">
        <v>0</v>
      </c>
      <c r="H892" s="357">
        <v>0</v>
      </c>
    </row>
    <row r="893" spans="1:8" ht="18" hidden="1" customHeight="1" x14ac:dyDescent="0.2">
      <c r="A893" s="257" t="s">
        <v>729</v>
      </c>
      <c r="B893" s="133" t="s">
        <v>692</v>
      </c>
      <c r="C893" s="133" t="s">
        <v>668</v>
      </c>
      <c r="D893" s="133" t="s">
        <v>403</v>
      </c>
      <c r="E893" s="133" t="s">
        <v>730</v>
      </c>
      <c r="F893" s="357">
        <f>F894</f>
        <v>0</v>
      </c>
      <c r="G893" s="357">
        <f>G894</f>
        <v>0</v>
      </c>
      <c r="H893" s="357">
        <f>H894</f>
        <v>0</v>
      </c>
    </row>
    <row r="894" spans="1:8" ht="19.899999999999999" hidden="1" customHeight="1" x14ac:dyDescent="0.2">
      <c r="A894" s="257" t="s">
        <v>731</v>
      </c>
      <c r="B894" s="133" t="s">
        <v>692</v>
      </c>
      <c r="C894" s="133" t="s">
        <v>668</v>
      </c>
      <c r="D894" s="133" t="s">
        <v>403</v>
      </c>
      <c r="E894" s="133" t="s">
        <v>732</v>
      </c>
      <c r="F894" s="357">
        <v>0</v>
      </c>
      <c r="G894" s="357">
        <v>0</v>
      </c>
      <c r="H894" s="357">
        <v>0</v>
      </c>
    </row>
    <row r="895" spans="1:8" ht="19.899999999999999" hidden="1" customHeight="1" x14ac:dyDescent="0.2">
      <c r="A895" s="257"/>
      <c r="B895" s="133"/>
      <c r="C895" s="133"/>
      <c r="D895" s="133"/>
      <c r="E895" s="133"/>
      <c r="F895" s="357"/>
      <c r="G895" s="357"/>
      <c r="H895" s="357"/>
    </row>
    <row r="896" spans="1:8" ht="19.899999999999999" hidden="1" customHeight="1" x14ac:dyDescent="0.2">
      <c r="A896" s="257"/>
      <c r="B896" s="133"/>
      <c r="C896" s="133"/>
      <c r="D896" s="133"/>
      <c r="E896" s="133"/>
      <c r="F896" s="357"/>
      <c r="G896" s="357"/>
      <c r="H896" s="357"/>
    </row>
    <row r="897" spans="1:8" ht="19.899999999999999" hidden="1" customHeight="1" x14ac:dyDescent="0.2">
      <c r="A897" s="257"/>
      <c r="B897" s="133"/>
      <c r="C897" s="133"/>
      <c r="D897" s="133"/>
      <c r="E897" s="133"/>
      <c r="F897" s="357"/>
      <c r="G897" s="357"/>
      <c r="H897" s="357"/>
    </row>
    <row r="898" spans="1:8" ht="19.899999999999999" hidden="1" customHeight="1" x14ac:dyDescent="0.2">
      <c r="A898" s="257"/>
      <c r="B898" s="133"/>
      <c r="C898" s="133"/>
      <c r="D898" s="133"/>
      <c r="E898" s="133"/>
      <c r="F898" s="357"/>
      <c r="G898" s="357"/>
      <c r="H898" s="357"/>
    </row>
    <row r="899" spans="1:8" ht="48.6" hidden="1" customHeight="1" x14ac:dyDescent="0.2">
      <c r="A899" s="252" t="s">
        <v>334</v>
      </c>
      <c r="B899" s="145" t="s">
        <v>692</v>
      </c>
      <c r="C899" s="145" t="s">
        <v>668</v>
      </c>
      <c r="D899" s="145" t="s">
        <v>666</v>
      </c>
      <c r="E899" s="145" t="s">
        <v>222</v>
      </c>
      <c r="F899" s="349">
        <f>F900</f>
        <v>0</v>
      </c>
      <c r="G899" s="146">
        <f t="shared" ref="F899:H901" si="190">G900</f>
        <v>0</v>
      </c>
      <c r="H899" s="146">
        <f t="shared" si="190"/>
        <v>0</v>
      </c>
    </row>
    <row r="900" spans="1:8" ht="100.9" hidden="1" customHeight="1" x14ac:dyDescent="0.2">
      <c r="A900" s="250" t="s">
        <v>893</v>
      </c>
      <c r="B900" s="127" t="s">
        <v>692</v>
      </c>
      <c r="C900" s="127" t="s">
        <v>668</v>
      </c>
      <c r="D900" s="127" t="s">
        <v>580</v>
      </c>
      <c r="E900" s="127" t="s">
        <v>222</v>
      </c>
      <c r="F900" s="128">
        <f t="shared" si="190"/>
        <v>0</v>
      </c>
      <c r="G900" s="128">
        <f t="shared" si="190"/>
        <v>0</v>
      </c>
      <c r="H900" s="128">
        <f t="shared" si="190"/>
        <v>0</v>
      </c>
    </row>
    <row r="901" spans="1:8" ht="47.45" hidden="1" customHeight="1" x14ac:dyDescent="0.2">
      <c r="A901" s="250" t="s">
        <v>894</v>
      </c>
      <c r="B901" s="127" t="s">
        <v>692</v>
      </c>
      <c r="C901" s="127" t="s">
        <v>668</v>
      </c>
      <c r="D901" s="127" t="s">
        <v>580</v>
      </c>
      <c r="E901" s="127" t="s">
        <v>730</v>
      </c>
      <c r="F901" s="128">
        <f t="shared" si="190"/>
        <v>0</v>
      </c>
      <c r="G901" s="128">
        <f t="shared" si="190"/>
        <v>0</v>
      </c>
      <c r="H901" s="128">
        <f t="shared" si="190"/>
        <v>0</v>
      </c>
    </row>
    <row r="902" spans="1:8" ht="17.45" hidden="1" customHeight="1" x14ac:dyDescent="0.2">
      <c r="A902" s="250" t="s">
        <v>731</v>
      </c>
      <c r="B902" s="127" t="s">
        <v>692</v>
      </c>
      <c r="C902" s="127" t="s">
        <v>668</v>
      </c>
      <c r="D902" s="127" t="s">
        <v>580</v>
      </c>
      <c r="E902" s="127" t="s">
        <v>732</v>
      </c>
      <c r="F902" s="128"/>
      <c r="G902" s="128">
        <v>0</v>
      </c>
      <c r="H902" s="128">
        <v>0</v>
      </c>
    </row>
    <row r="903" spans="1:8" ht="49.15" hidden="1" customHeight="1" x14ac:dyDescent="0.2">
      <c r="A903" s="252" t="s">
        <v>895</v>
      </c>
      <c r="B903" s="145" t="s">
        <v>692</v>
      </c>
      <c r="C903" s="145" t="s">
        <v>668</v>
      </c>
      <c r="D903" s="145" t="s">
        <v>666</v>
      </c>
      <c r="E903" s="145" t="s">
        <v>222</v>
      </c>
      <c r="F903" s="146">
        <f>F904+F907</f>
        <v>0</v>
      </c>
      <c r="G903" s="146">
        <f>G904+G907</f>
        <v>0</v>
      </c>
      <c r="H903" s="146">
        <f>H904+H907</f>
        <v>0</v>
      </c>
    </row>
    <row r="904" spans="1:8" ht="97.9" hidden="1" customHeight="1" x14ac:dyDescent="0.2">
      <c r="A904" s="251" t="s">
        <v>896</v>
      </c>
      <c r="B904" s="8" t="s">
        <v>692</v>
      </c>
      <c r="C904" s="8" t="s">
        <v>668</v>
      </c>
      <c r="D904" s="8" t="s">
        <v>480</v>
      </c>
      <c r="E904" s="8" t="s">
        <v>222</v>
      </c>
      <c r="F904" s="129">
        <f t="shared" ref="F904:H905" si="191">F905</f>
        <v>0</v>
      </c>
      <c r="G904" s="129">
        <f t="shared" si="191"/>
        <v>0</v>
      </c>
      <c r="H904" s="129">
        <f t="shared" si="191"/>
        <v>0</v>
      </c>
    </row>
    <row r="905" spans="1:8" ht="31.9" hidden="1" customHeight="1" x14ac:dyDescent="0.2">
      <c r="A905" s="250" t="s">
        <v>676</v>
      </c>
      <c r="B905" s="127" t="s">
        <v>692</v>
      </c>
      <c r="C905" s="127" t="s">
        <v>668</v>
      </c>
      <c r="D905" s="127" t="s">
        <v>480</v>
      </c>
      <c r="E905" s="127" t="s">
        <v>677</v>
      </c>
      <c r="F905" s="128">
        <f t="shared" si="191"/>
        <v>0</v>
      </c>
      <c r="G905" s="128">
        <f t="shared" si="191"/>
        <v>0</v>
      </c>
      <c r="H905" s="128">
        <f t="shared" si="191"/>
        <v>0</v>
      </c>
    </row>
    <row r="906" spans="1:8" ht="49.15" hidden="1" customHeight="1" x14ac:dyDescent="0.2">
      <c r="A906" s="250" t="s">
        <v>678</v>
      </c>
      <c r="B906" s="127" t="s">
        <v>692</v>
      </c>
      <c r="C906" s="127" t="s">
        <v>668</v>
      </c>
      <c r="D906" s="127" t="s">
        <v>480</v>
      </c>
      <c r="E906" s="127" t="s">
        <v>679</v>
      </c>
      <c r="F906" s="128"/>
      <c r="G906" s="128"/>
      <c r="H906" s="128"/>
    </row>
    <row r="907" spans="1:8" ht="65.45" hidden="1" customHeight="1" x14ac:dyDescent="0.2">
      <c r="A907" s="251" t="s">
        <v>517</v>
      </c>
      <c r="B907" s="8" t="s">
        <v>692</v>
      </c>
      <c r="C907" s="8" t="s">
        <v>668</v>
      </c>
      <c r="D907" s="8" t="s">
        <v>514</v>
      </c>
      <c r="E907" s="8" t="s">
        <v>222</v>
      </c>
      <c r="F907" s="129">
        <f t="shared" ref="F907:H908" si="192">F908</f>
        <v>0</v>
      </c>
      <c r="G907" s="129">
        <f t="shared" si="192"/>
        <v>0</v>
      </c>
      <c r="H907" s="129">
        <f t="shared" si="192"/>
        <v>0</v>
      </c>
    </row>
    <row r="908" spans="1:8" ht="35.450000000000003" hidden="1" customHeight="1" x14ac:dyDescent="0.2">
      <c r="A908" s="250" t="s">
        <v>676</v>
      </c>
      <c r="B908" s="127" t="s">
        <v>692</v>
      </c>
      <c r="C908" s="127" t="s">
        <v>668</v>
      </c>
      <c r="D908" s="127" t="s">
        <v>514</v>
      </c>
      <c r="E908" s="127" t="s">
        <v>677</v>
      </c>
      <c r="F908" s="128">
        <f t="shared" si="192"/>
        <v>0</v>
      </c>
      <c r="G908" s="128">
        <f t="shared" si="192"/>
        <v>0</v>
      </c>
      <c r="H908" s="128">
        <f t="shared" si="192"/>
        <v>0</v>
      </c>
    </row>
    <row r="909" spans="1:8" ht="49.15" hidden="1" customHeight="1" x14ac:dyDescent="0.2">
      <c r="A909" s="250" t="s">
        <v>678</v>
      </c>
      <c r="B909" s="127" t="s">
        <v>692</v>
      </c>
      <c r="C909" s="127" t="s">
        <v>668</v>
      </c>
      <c r="D909" s="127" t="s">
        <v>514</v>
      </c>
      <c r="E909" s="127" t="s">
        <v>679</v>
      </c>
      <c r="F909" s="128"/>
      <c r="G909" s="128"/>
      <c r="H909" s="128"/>
    </row>
    <row r="910" spans="1:8" ht="64.900000000000006" customHeight="1" x14ac:dyDescent="0.2">
      <c r="A910" s="252" t="s">
        <v>509</v>
      </c>
      <c r="B910" s="145" t="s">
        <v>692</v>
      </c>
      <c r="C910" s="145" t="s">
        <v>668</v>
      </c>
      <c r="D910" s="145" t="s">
        <v>666</v>
      </c>
      <c r="E910" s="145" t="s">
        <v>222</v>
      </c>
      <c r="F910" s="146">
        <f>F911+F914</f>
        <v>500</v>
      </c>
      <c r="G910" s="146">
        <f>G911+G914</f>
        <v>0</v>
      </c>
      <c r="H910" s="146">
        <f>H911+H914</f>
        <v>0</v>
      </c>
    </row>
    <row r="911" spans="1:8" ht="97.5" customHeight="1" x14ac:dyDescent="0.2">
      <c r="A911" s="251" t="s">
        <v>494</v>
      </c>
      <c r="B911" s="8" t="s">
        <v>692</v>
      </c>
      <c r="C911" s="8" t="s">
        <v>668</v>
      </c>
      <c r="D911" s="8" t="s">
        <v>481</v>
      </c>
      <c r="E911" s="8" t="s">
        <v>222</v>
      </c>
      <c r="F911" s="129">
        <f t="shared" ref="F911:H912" si="193">F912</f>
        <v>495</v>
      </c>
      <c r="G911" s="129">
        <f t="shared" si="193"/>
        <v>0</v>
      </c>
      <c r="H911" s="129">
        <f t="shared" si="193"/>
        <v>0</v>
      </c>
    </row>
    <row r="912" spans="1:8" ht="39" customHeight="1" x14ac:dyDescent="0.2">
      <c r="A912" s="250" t="s">
        <v>676</v>
      </c>
      <c r="B912" s="127" t="s">
        <v>692</v>
      </c>
      <c r="C912" s="127" t="s">
        <v>668</v>
      </c>
      <c r="D912" s="127" t="s">
        <v>481</v>
      </c>
      <c r="E912" s="127" t="s">
        <v>677</v>
      </c>
      <c r="F912" s="128">
        <f t="shared" si="193"/>
        <v>495</v>
      </c>
      <c r="G912" s="128">
        <f t="shared" si="193"/>
        <v>0</v>
      </c>
      <c r="H912" s="128">
        <f t="shared" si="193"/>
        <v>0</v>
      </c>
    </row>
    <row r="913" spans="1:8" ht="54.75" customHeight="1" x14ac:dyDescent="0.2">
      <c r="A913" s="250" t="s">
        <v>678</v>
      </c>
      <c r="B913" s="127" t="s">
        <v>692</v>
      </c>
      <c r="C913" s="127" t="s">
        <v>668</v>
      </c>
      <c r="D913" s="127" t="s">
        <v>481</v>
      </c>
      <c r="E913" s="127" t="s">
        <v>679</v>
      </c>
      <c r="F913" s="128">
        <f>'5'!D139</f>
        <v>495</v>
      </c>
      <c r="G913" s="128">
        <f>'5'!E139</f>
        <v>0</v>
      </c>
      <c r="H913" s="128">
        <f>'5'!F139</f>
        <v>0</v>
      </c>
    </row>
    <row r="914" spans="1:8" ht="132" customHeight="1" x14ac:dyDescent="0.2">
      <c r="A914" s="251" t="s">
        <v>897</v>
      </c>
      <c r="B914" s="8" t="s">
        <v>692</v>
      </c>
      <c r="C914" s="8" t="s">
        <v>668</v>
      </c>
      <c r="D914" s="8" t="s">
        <v>898</v>
      </c>
      <c r="E914" s="8" t="s">
        <v>222</v>
      </c>
      <c r="F914" s="129">
        <f t="shared" ref="F914:H915" si="194">F915</f>
        <v>5</v>
      </c>
      <c r="G914" s="129">
        <f t="shared" si="194"/>
        <v>0</v>
      </c>
      <c r="H914" s="129">
        <f t="shared" si="194"/>
        <v>0</v>
      </c>
    </row>
    <row r="915" spans="1:8" ht="40.15" customHeight="1" x14ac:dyDescent="0.2">
      <c r="A915" s="250" t="s">
        <v>676</v>
      </c>
      <c r="B915" s="127" t="s">
        <v>692</v>
      </c>
      <c r="C915" s="127" t="s">
        <v>668</v>
      </c>
      <c r="D915" s="127" t="s">
        <v>898</v>
      </c>
      <c r="E915" s="127" t="s">
        <v>677</v>
      </c>
      <c r="F915" s="128">
        <f t="shared" si="194"/>
        <v>5</v>
      </c>
      <c r="G915" s="128">
        <f t="shared" si="194"/>
        <v>0</v>
      </c>
      <c r="H915" s="128">
        <f t="shared" si="194"/>
        <v>0</v>
      </c>
    </row>
    <row r="916" spans="1:8" ht="51" customHeight="1" x14ac:dyDescent="0.2">
      <c r="A916" s="250" t="s">
        <v>678</v>
      </c>
      <c r="B916" s="127" t="s">
        <v>692</v>
      </c>
      <c r="C916" s="127" t="s">
        <v>668</v>
      </c>
      <c r="D916" s="127" t="s">
        <v>898</v>
      </c>
      <c r="E916" s="127" t="s">
        <v>679</v>
      </c>
      <c r="F916" s="357">
        <f>'5'!D140</f>
        <v>5</v>
      </c>
      <c r="G916" s="357">
        <f>'5'!E140</f>
        <v>0</v>
      </c>
      <c r="H916" s="357">
        <f>'5'!F140</f>
        <v>0</v>
      </c>
    </row>
    <row r="917" spans="1:8" ht="33.6" hidden="1" customHeight="1" x14ac:dyDescent="0.2">
      <c r="A917" s="252" t="s">
        <v>515</v>
      </c>
      <c r="B917" s="145" t="s">
        <v>692</v>
      </c>
      <c r="C917" s="145" t="s">
        <v>668</v>
      </c>
      <c r="D917" s="145" t="s">
        <v>666</v>
      </c>
      <c r="E917" s="145" t="s">
        <v>222</v>
      </c>
      <c r="F917" s="146">
        <f>F921</f>
        <v>0</v>
      </c>
      <c r="G917" s="146">
        <f>G921</f>
        <v>0</v>
      </c>
      <c r="H917" s="146">
        <f>H921</f>
        <v>0</v>
      </c>
    </row>
    <row r="918" spans="1:8" ht="48.6" hidden="1" customHeight="1" x14ac:dyDescent="0.2">
      <c r="A918" s="251" t="s">
        <v>899</v>
      </c>
      <c r="B918" s="127" t="s">
        <v>692</v>
      </c>
      <c r="C918" s="127" t="s">
        <v>668</v>
      </c>
      <c r="D918" s="127" t="s">
        <v>900</v>
      </c>
      <c r="E918" s="127" t="s">
        <v>222</v>
      </c>
      <c r="F918" s="128"/>
      <c r="G918" s="128"/>
      <c r="H918" s="128"/>
    </row>
    <row r="919" spans="1:8" ht="33.6" hidden="1" customHeight="1" x14ac:dyDescent="0.2">
      <c r="A919" s="250" t="s">
        <v>676</v>
      </c>
      <c r="B919" s="127" t="s">
        <v>692</v>
      </c>
      <c r="C919" s="127" t="s">
        <v>668</v>
      </c>
      <c r="D919" s="127" t="s">
        <v>900</v>
      </c>
      <c r="E919" s="127" t="s">
        <v>677</v>
      </c>
      <c r="F919" s="128"/>
      <c r="G919" s="128"/>
      <c r="H919" s="128"/>
    </row>
    <row r="920" spans="1:8" ht="33.6" hidden="1" customHeight="1" x14ac:dyDescent="0.2">
      <c r="A920" s="250" t="s">
        <v>678</v>
      </c>
      <c r="B920" s="127" t="s">
        <v>692</v>
      </c>
      <c r="C920" s="127" t="s">
        <v>668</v>
      </c>
      <c r="D920" s="127" t="s">
        <v>900</v>
      </c>
      <c r="E920" s="127" t="s">
        <v>679</v>
      </c>
      <c r="F920" s="128"/>
      <c r="G920" s="128"/>
      <c r="H920" s="128"/>
    </row>
    <row r="921" spans="1:8" ht="78" hidden="1" customHeight="1" x14ac:dyDescent="0.2">
      <c r="A921" s="251" t="s">
        <v>519</v>
      </c>
      <c r="B921" s="8" t="s">
        <v>692</v>
      </c>
      <c r="C921" s="8" t="s">
        <v>668</v>
      </c>
      <c r="D921" s="8" t="s">
        <v>581</v>
      </c>
      <c r="E921" s="8" t="s">
        <v>222</v>
      </c>
      <c r="F921" s="129">
        <f t="shared" ref="F921:H922" si="195">F922</f>
        <v>0</v>
      </c>
      <c r="G921" s="129">
        <f t="shared" si="195"/>
        <v>0</v>
      </c>
      <c r="H921" s="129">
        <f t="shared" si="195"/>
        <v>0</v>
      </c>
    </row>
    <row r="922" spans="1:8" ht="34.9" hidden="1" customHeight="1" x14ac:dyDescent="0.2">
      <c r="A922" s="250" t="s">
        <v>676</v>
      </c>
      <c r="B922" s="127" t="s">
        <v>692</v>
      </c>
      <c r="C922" s="127" t="s">
        <v>668</v>
      </c>
      <c r="D922" s="127" t="s">
        <v>581</v>
      </c>
      <c r="E922" s="127" t="s">
        <v>677</v>
      </c>
      <c r="F922" s="128">
        <f t="shared" si="195"/>
        <v>0</v>
      </c>
      <c r="G922" s="128">
        <f t="shared" si="195"/>
        <v>0</v>
      </c>
      <c r="H922" s="128">
        <f t="shared" si="195"/>
        <v>0</v>
      </c>
    </row>
    <row r="923" spans="1:8" ht="48" hidden="1" customHeight="1" x14ac:dyDescent="0.2">
      <c r="A923" s="250" t="s">
        <v>678</v>
      </c>
      <c r="B923" s="127" t="s">
        <v>692</v>
      </c>
      <c r="C923" s="127" t="s">
        <v>668</v>
      </c>
      <c r="D923" s="127" t="s">
        <v>581</v>
      </c>
      <c r="E923" s="127" t="s">
        <v>679</v>
      </c>
      <c r="F923" s="357">
        <v>0</v>
      </c>
      <c r="G923" s="357">
        <v>0</v>
      </c>
      <c r="H923" s="357">
        <v>0</v>
      </c>
    </row>
    <row r="924" spans="1:8" ht="48.6" hidden="1" customHeight="1" x14ac:dyDescent="0.2">
      <c r="A924" s="252" t="s">
        <v>388</v>
      </c>
      <c r="B924" s="145" t="s">
        <v>692</v>
      </c>
      <c r="C924" s="145" t="s">
        <v>668</v>
      </c>
      <c r="D924" s="145" t="s">
        <v>71</v>
      </c>
      <c r="E924" s="145" t="s">
        <v>222</v>
      </c>
      <c r="F924" s="146">
        <f>F925+F928</f>
        <v>0</v>
      </c>
      <c r="G924" s="146">
        <f>G925+G928</f>
        <v>0</v>
      </c>
      <c r="H924" s="146">
        <f>H925+H928</f>
        <v>0</v>
      </c>
    </row>
    <row r="925" spans="1:8" ht="85.9" hidden="1" customHeight="1" x14ac:dyDescent="0.2">
      <c r="A925" s="251" t="s">
        <v>901</v>
      </c>
      <c r="B925" s="127" t="s">
        <v>692</v>
      </c>
      <c r="C925" s="127" t="s">
        <v>668</v>
      </c>
      <c r="D925" s="127" t="s">
        <v>390</v>
      </c>
      <c r="E925" s="127" t="s">
        <v>222</v>
      </c>
      <c r="F925" s="128">
        <f t="shared" ref="F925:H926" si="196">F926</f>
        <v>0</v>
      </c>
      <c r="G925" s="128">
        <f t="shared" si="196"/>
        <v>0</v>
      </c>
      <c r="H925" s="128">
        <f t="shared" si="196"/>
        <v>0</v>
      </c>
    </row>
    <row r="926" spans="1:8" ht="45" hidden="1" customHeight="1" x14ac:dyDescent="0.2">
      <c r="A926" s="250" t="s">
        <v>891</v>
      </c>
      <c r="B926" s="127" t="s">
        <v>692</v>
      </c>
      <c r="C926" s="127" t="s">
        <v>668</v>
      </c>
      <c r="D926" s="127" t="s">
        <v>390</v>
      </c>
      <c r="E926" s="127" t="s">
        <v>714</v>
      </c>
      <c r="F926" s="128">
        <f t="shared" si="196"/>
        <v>0</v>
      </c>
      <c r="G926" s="128">
        <f t="shared" si="196"/>
        <v>0</v>
      </c>
      <c r="H926" s="128">
        <f t="shared" si="196"/>
        <v>0</v>
      </c>
    </row>
    <row r="927" spans="1:8" ht="19.149999999999999" hidden="1" customHeight="1" x14ac:dyDescent="0.2">
      <c r="A927" s="250" t="s">
        <v>116</v>
      </c>
      <c r="B927" s="127" t="s">
        <v>692</v>
      </c>
      <c r="C927" s="127" t="s">
        <v>668</v>
      </c>
      <c r="D927" s="127" t="s">
        <v>390</v>
      </c>
      <c r="E927" s="127" t="s">
        <v>165</v>
      </c>
      <c r="F927" s="128"/>
      <c r="G927" s="128"/>
      <c r="H927" s="128"/>
    </row>
    <row r="928" spans="1:8" ht="94.15" hidden="1" customHeight="1" x14ac:dyDescent="0.2">
      <c r="A928" s="251" t="s">
        <v>902</v>
      </c>
      <c r="B928" s="127" t="s">
        <v>692</v>
      </c>
      <c r="C928" s="127" t="s">
        <v>668</v>
      </c>
      <c r="D928" s="127" t="s">
        <v>391</v>
      </c>
      <c r="E928" s="127" t="s">
        <v>222</v>
      </c>
      <c r="F928" s="128">
        <f t="shared" ref="F928:H929" si="197">F929</f>
        <v>0</v>
      </c>
      <c r="G928" s="128">
        <f t="shared" si="197"/>
        <v>0</v>
      </c>
      <c r="H928" s="128">
        <f t="shared" si="197"/>
        <v>0</v>
      </c>
    </row>
    <row r="929" spans="1:8" ht="49.15" hidden="1" customHeight="1" x14ac:dyDescent="0.2">
      <c r="A929" s="250" t="s">
        <v>891</v>
      </c>
      <c r="B929" s="127" t="s">
        <v>692</v>
      </c>
      <c r="C929" s="127" t="s">
        <v>668</v>
      </c>
      <c r="D929" s="127" t="s">
        <v>391</v>
      </c>
      <c r="E929" s="127" t="s">
        <v>714</v>
      </c>
      <c r="F929" s="128">
        <f t="shared" si="197"/>
        <v>0</v>
      </c>
      <c r="G929" s="128">
        <f t="shared" si="197"/>
        <v>0</v>
      </c>
      <c r="H929" s="128">
        <f t="shared" si="197"/>
        <v>0</v>
      </c>
    </row>
    <row r="930" spans="1:8" ht="19.149999999999999" hidden="1" customHeight="1" x14ac:dyDescent="0.2">
      <c r="A930" s="250" t="s">
        <v>116</v>
      </c>
      <c r="B930" s="127" t="s">
        <v>692</v>
      </c>
      <c r="C930" s="127" t="s">
        <v>668</v>
      </c>
      <c r="D930" s="127" t="s">
        <v>391</v>
      </c>
      <c r="E930" s="127" t="s">
        <v>165</v>
      </c>
      <c r="F930" s="128"/>
      <c r="G930" s="128"/>
      <c r="H930" s="128"/>
    </row>
    <row r="931" spans="1:8" ht="64.900000000000006" hidden="1" customHeight="1" x14ac:dyDescent="0.2">
      <c r="A931" s="252" t="s">
        <v>903</v>
      </c>
      <c r="B931" s="145" t="s">
        <v>692</v>
      </c>
      <c r="C931" s="145" t="s">
        <v>668</v>
      </c>
      <c r="D931" s="145" t="s">
        <v>71</v>
      </c>
      <c r="E931" s="145" t="s">
        <v>222</v>
      </c>
      <c r="F931" s="146">
        <f>F932+F935</f>
        <v>0</v>
      </c>
      <c r="G931" s="146">
        <f>G932+G935</f>
        <v>0</v>
      </c>
      <c r="H931" s="146">
        <f>H932+H935</f>
        <v>0</v>
      </c>
    </row>
    <row r="932" spans="1:8" ht="97.15" hidden="1" customHeight="1" x14ac:dyDescent="0.2">
      <c r="A932" s="251" t="s">
        <v>904</v>
      </c>
      <c r="B932" s="8" t="s">
        <v>692</v>
      </c>
      <c r="C932" s="8" t="s">
        <v>668</v>
      </c>
      <c r="D932" s="8" t="s">
        <v>905</v>
      </c>
      <c r="E932" s="8" t="s">
        <v>222</v>
      </c>
      <c r="F932" s="129">
        <f t="shared" ref="F932:H933" si="198">F933</f>
        <v>0</v>
      </c>
      <c r="G932" s="129">
        <f t="shared" si="198"/>
        <v>0</v>
      </c>
      <c r="H932" s="129">
        <f t="shared" si="198"/>
        <v>0</v>
      </c>
    </row>
    <row r="933" spans="1:8" ht="36.6" hidden="1" customHeight="1" x14ac:dyDescent="0.2">
      <c r="A933" s="250" t="s">
        <v>676</v>
      </c>
      <c r="B933" s="127" t="s">
        <v>692</v>
      </c>
      <c r="C933" s="127" t="s">
        <v>668</v>
      </c>
      <c r="D933" s="127" t="s">
        <v>905</v>
      </c>
      <c r="E933" s="127" t="s">
        <v>677</v>
      </c>
      <c r="F933" s="128">
        <f t="shared" si="198"/>
        <v>0</v>
      </c>
      <c r="G933" s="128">
        <f t="shared" si="198"/>
        <v>0</v>
      </c>
      <c r="H933" s="128">
        <f t="shared" si="198"/>
        <v>0</v>
      </c>
    </row>
    <row r="934" spans="1:8" ht="48.6" hidden="1" customHeight="1" x14ac:dyDescent="0.2">
      <c r="A934" s="250" t="s">
        <v>678</v>
      </c>
      <c r="B934" s="127" t="s">
        <v>692</v>
      </c>
      <c r="C934" s="127" t="s">
        <v>668</v>
      </c>
      <c r="D934" s="127" t="s">
        <v>905</v>
      </c>
      <c r="E934" s="127" t="s">
        <v>679</v>
      </c>
      <c r="F934" s="128"/>
      <c r="G934" s="128"/>
      <c r="H934" s="128"/>
    </row>
    <row r="935" spans="1:8" ht="115.15" hidden="1" customHeight="1" x14ac:dyDescent="0.2">
      <c r="A935" s="251" t="s">
        <v>906</v>
      </c>
      <c r="B935" s="8" t="s">
        <v>692</v>
      </c>
      <c r="C935" s="8" t="s">
        <v>668</v>
      </c>
      <c r="D935" s="8" t="s">
        <v>907</v>
      </c>
      <c r="E935" s="8" t="s">
        <v>222</v>
      </c>
      <c r="F935" s="129">
        <f t="shared" ref="F935:H936" si="199">F936</f>
        <v>0</v>
      </c>
      <c r="G935" s="129">
        <f t="shared" si="199"/>
        <v>0</v>
      </c>
      <c r="H935" s="129">
        <f t="shared" si="199"/>
        <v>0</v>
      </c>
    </row>
    <row r="936" spans="1:8" ht="36" hidden="1" customHeight="1" x14ac:dyDescent="0.2">
      <c r="A936" s="250" t="s">
        <v>676</v>
      </c>
      <c r="B936" s="127" t="s">
        <v>692</v>
      </c>
      <c r="C936" s="127" t="s">
        <v>668</v>
      </c>
      <c r="D936" s="127" t="s">
        <v>907</v>
      </c>
      <c r="E936" s="127" t="s">
        <v>677</v>
      </c>
      <c r="F936" s="128">
        <f t="shared" si="199"/>
        <v>0</v>
      </c>
      <c r="G936" s="128">
        <f t="shared" si="199"/>
        <v>0</v>
      </c>
      <c r="H936" s="128">
        <f t="shared" si="199"/>
        <v>0</v>
      </c>
    </row>
    <row r="937" spans="1:8" ht="47.65" hidden="1" customHeight="1" x14ac:dyDescent="0.2">
      <c r="A937" s="250" t="s">
        <v>678</v>
      </c>
      <c r="B937" s="127" t="s">
        <v>692</v>
      </c>
      <c r="C937" s="127" t="s">
        <v>668</v>
      </c>
      <c r="D937" s="127" t="s">
        <v>907</v>
      </c>
      <c r="E937" s="127" t="s">
        <v>679</v>
      </c>
      <c r="F937" s="128"/>
      <c r="G937" s="128"/>
      <c r="H937" s="128"/>
    </row>
    <row r="938" spans="1:8" s="143" customFormat="1" ht="49.5" customHeight="1" x14ac:dyDescent="0.25">
      <c r="A938" s="260" t="s">
        <v>908</v>
      </c>
      <c r="B938" s="118" t="s">
        <v>703</v>
      </c>
      <c r="C938" s="118" t="s">
        <v>109</v>
      </c>
      <c r="D938" s="118" t="s">
        <v>666</v>
      </c>
      <c r="E938" s="118" t="s">
        <v>222</v>
      </c>
      <c r="F938" s="119">
        <f t="shared" ref="F938:H948" si="200">F939</f>
        <v>10</v>
      </c>
      <c r="G938" s="119">
        <f t="shared" si="200"/>
        <v>110</v>
      </c>
      <c r="H938" s="119">
        <f t="shared" si="200"/>
        <v>110</v>
      </c>
    </row>
    <row r="939" spans="1:8" ht="33.75" customHeight="1" x14ac:dyDescent="0.2">
      <c r="A939" s="250" t="s">
        <v>909</v>
      </c>
      <c r="B939" s="127" t="s">
        <v>703</v>
      </c>
      <c r="C939" s="127" t="s">
        <v>108</v>
      </c>
      <c r="D939" s="127" t="s">
        <v>666</v>
      </c>
      <c r="E939" s="127" t="s">
        <v>222</v>
      </c>
      <c r="F939" s="128">
        <f>F940+F945</f>
        <v>10</v>
      </c>
      <c r="G939" s="128">
        <f>G940+G945</f>
        <v>110</v>
      </c>
      <c r="H939" s="128">
        <f>H940+H945</f>
        <v>110</v>
      </c>
    </row>
    <row r="940" spans="1:8" ht="88.5" customHeight="1" x14ac:dyDescent="0.2">
      <c r="A940" s="251" t="s">
        <v>485</v>
      </c>
      <c r="B940" s="8" t="s">
        <v>703</v>
      </c>
      <c r="C940" s="8" t="s">
        <v>108</v>
      </c>
      <c r="D940" s="8" t="s">
        <v>286</v>
      </c>
      <c r="E940" s="8" t="s">
        <v>222</v>
      </c>
      <c r="F940" s="129">
        <f>F941</f>
        <v>10</v>
      </c>
      <c r="G940" s="129">
        <f t="shared" si="200"/>
        <v>0</v>
      </c>
      <c r="H940" s="129">
        <f t="shared" si="200"/>
        <v>0</v>
      </c>
    </row>
    <row r="941" spans="1:8" ht="33" customHeight="1" x14ac:dyDescent="0.2">
      <c r="A941" s="250" t="s">
        <v>910</v>
      </c>
      <c r="B941" s="127" t="s">
        <v>703</v>
      </c>
      <c r="C941" s="127" t="s">
        <v>108</v>
      </c>
      <c r="D941" s="127" t="s">
        <v>282</v>
      </c>
      <c r="E941" s="127" t="s">
        <v>222</v>
      </c>
      <c r="F941" s="128">
        <f t="shared" si="200"/>
        <v>10</v>
      </c>
      <c r="G941" s="128">
        <f t="shared" si="200"/>
        <v>0</v>
      </c>
      <c r="H941" s="128">
        <f t="shared" si="200"/>
        <v>0</v>
      </c>
    </row>
    <row r="942" spans="1:8" ht="33.75" customHeight="1" x14ac:dyDescent="0.2">
      <c r="A942" s="250" t="s">
        <v>911</v>
      </c>
      <c r="B942" s="127" t="s">
        <v>703</v>
      </c>
      <c r="C942" s="127" t="s">
        <v>108</v>
      </c>
      <c r="D942" s="127" t="s">
        <v>282</v>
      </c>
      <c r="E942" s="127" t="s">
        <v>222</v>
      </c>
      <c r="F942" s="128">
        <f t="shared" si="200"/>
        <v>10</v>
      </c>
      <c r="G942" s="128">
        <f t="shared" si="200"/>
        <v>0</v>
      </c>
      <c r="H942" s="128">
        <f t="shared" si="200"/>
        <v>0</v>
      </c>
    </row>
    <row r="943" spans="1:8" ht="33" customHeight="1" x14ac:dyDescent="0.2">
      <c r="A943" s="250" t="s">
        <v>123</v>
      </c>
      <c r="B943" s="127" t="s">
        <v>703</v>
      </c>
      <c r="C943" s="127" t="s">
        <v>108</v>
      </c>
      <c r="D943" s="127" t="s">
        <v>282</v>
      </c>
      <c r="E943" s="127" t="s">
        <v>912</v>
      </c>
      <c r="F943" s="128">
        <f t="shared" si="200"/>
        <v>10</v>
      </c>
      <c r="G943" s="128">
        <f t="shared" si="200"/>
        <v>0</v>
      </c>
      <c r="H943" s="128">
        <f t="shared" si="200"/>
        <v>0</v>
      </c>
    </row>
    <row r="944" spans="1:8" ht="20.25" customHeight="1" x14ac:dyDescent="0.2">
      <c r="A944" s="250" t="s">
        <v>130</v>
      </c>
      <c r="B944" s="127" t="s">
        <v>703</v>
      </c>
      <c r="C944" s="127" t="s">
        <v>108</v>
      </c>
      <c r="D944" s="127" t="s">
        <v>282</v>
      </c>
      <c r="E944" s="127" t="s">
        <v>913</v>
      </c>
      <c r="F944" s="357">
        <f>110-100</f>
        <v>10</v>
      </c>
      <c r="G944" s="128">
        <v>0</v>
      </c>
      <c r="H944" s="128">
        <v>0</v>
      </c>
    </row>
    <row r="945" spans="1:8" ht="39" customHeight="1" x14ac:dyDescent="0.2">
      <c r="A945" s="258" t="s">
        <v>794</v>
      </c>
      <c r="B945" s="135" t="s">
        <v>703</v>
      </c>
      <c r="C945" s="135" t="s">
        <v>108</v>
      </c>
      <c r="D945" s="135" t="s">
        <v>6</v>
      </c>
      <c r="E945" s="135" t="s">
        <v>222</v>
      </c>
      <c r="F945" s="136">
        <f t="shared" si="200"/>
        <v>0</v>
      </c>
      <c r="G945" s="136">
        <f t="shared" si="200"/>
        <v>110</v>
      </c>
      <c r="H945" s="136">
        <f t="shared" si="200"/>
        <v>110</v>
      </c>
    </row>
    <row r="946" spans="1:8" ht="34.9" customHeight="1" x14ac:dyDescent="0.2">
      <c r="A946" s="250" t="s">
        <v>910</v>
      </c>
      <c r="B946" s="127" t="s">
        <v>703</v>
      </c>
      <c r="C946" s="127" t="s">
        <v>108</v>
      </c>
      <c r="D946" s="127" t="s">
        <v>564</v>
      </c>
      <c r="E946" s="127" t="s">
        <v>222</v>
      </c>
      <c r="F946" s="128">
        <f t="shared" si="200"/>
        <v>0</v>
      </c>
      <c r="G946" s="128">
        <f t="shared" si="200"/>
        <v>110</v>
      </c>
      <c r="H946" s="128">
        <f t="shared" si="200"/>
        <v>110</v>
      </c>
    </row>
    <row r="947" spans="1:8" ht="30" customHeight="1" x14ac:dyDescent="0.2">
      <c r="A947" s="250" t="s">
        <v>911</v>
      </c>
      <c r="B947" s="127" t="s">
        <v>703</v>
      </c>
      <c r="C947" s="127" t="s">
        <v>108</v>
      </c>
      <c r="D947" s="127" t="s">
        <v>564</v>
      </c>
      <c r="E947" s="127" t="s">
        <v>222</v>
      </c>
      <c r="F947" s="128">
        <f t="shared" si="200"/>
        <v>0</v>
      </c>
      <c r="G947" s="128">
        <f t="shared" si="200"/>
        <v>110</v>
      </c>
      <c r="H947" s="128">
        <f t="shared" si="200"/>
        <v>110</v>
      </c>
    </row>
    <row r="948" spans="1:8" ht="36.75" customHeight="1" x14ac:dyDescent="0.2">
      <c r="A948" s="250" t="s">
        <v>123</v>
      </c>
      <c r="B948" s="127" t="s">
        <v>703</v>
      </c>
      <c r="C948" s="127" t="s">
        <v>108</v>
      </c>
      <c r="D948" s="127" t="s">
        <v>564</v>
      </c>
      <c r="E948" s="127" t="s">
        <v>912</v>
      </c>
      <c r="F948" s="128">
        <f t="shared" si="200"/>
        <v>0</v>
      </c>
      <c r="G948" s="128">
        <f t="shared" si="200"/>
        <v>110</v>
      </c>
      <c r="H948" s="128">
        <f t="shared" si="200"/>
        <v>110</v>
      </c>
    </row>
    <row r="949" spans="1:8" ht="21" customHeight="1" x14ac:dyDescent="0.2">
      <c r="A949" s="250" t="s">
        <v>130</v>
      </c>
      <c r="B949" s="127" t="s">
        <v>703</v>
      </c>
      <c r="C949" s="127" t="s">
        <v>108</v>
      </c>
      <c r="D949" s="127" t="s">
        <v>564</v>
      </c>
      <c r="E949" s="127" t="s">
        <v>913</v>
      </c>
      <c r="F949" s="128">
        <v>0</v>
      </c>
      <c r="G949" s="128">
        <v>110</v>
      </c>
      <c r="H949" s="128">
        <v>110</v>
      </c>
    </row>
    <row r="950" spans="1:8" s="143" customFormat="1" ht="79.150000000000006" customHeight="1" x14ac:dyDescent="0.25">
      <c r="A950" s="260" t="s">
        <v>914</v>
      </c>
      <c r="B950" s="118" t="s">
        <v>915</v>
      </c>
      <c r="C950" s="118" t="s">
        <v>109</v>
      </c>
      <c r="D950" s="118" t="s">
        <v>666</v>
      </c>
      <c r="E950" s="118" t="s">
        <v>222</v>
      </c>
      <c r="F950" s="119">
        <f>F951+F969</f>
        <v>22878.52015</v>
      </c>
      <c r="G950" s="119">
        <f>G951+G969</f>
        <v>11791.041999999999</v>
      </c>
      <c r="H950" s="119">
        <f>H951+H969</f>
        <v>11741.041999999999</v>
      </c>
    </row>
    <row r="951" spans="1:8" s="143" customFormat="1" ht="79.5" customHeight="1" x14ac:dyDescent="0.25">
      <c r="A951" s="258" t="s">
        <v>485</v>
      </c>
      <c r="B951" s="135" t="s">
        <v>915</v>
      </c>
      <c r="C951" s="135" t="s">
        <v>109</v>
      </c>
      <c r="D951" s="135" t="s">
        <v>286</v>
      </c>
      <c r="E951" s="135" t="s">
        <v>222</v>
      </c>
      <c r="F951" s="136">
        <f>F952+F958+F964+F967+F968</f>
        <v>22878.52015</v>
      </c>
      <c r="G951" s="136">
        <f>G952+G958+G964</f>
        <v>0</v>
      </c>
      <c r="H951" s="136">
        <f>H952+H958+H964</f>
        <v>0</v>
      </c>
    </row>
    <row r="952" spans="1:8" ht="48.75" customHeight="1" x14ac:dyDescent="0.2">
      <c r="A952" s="249" t="s">
        <v>916</v>
      </c>
      <c r="B952" s="122" t="s">
        <v>915</v>
      </c>
      <c r="C952" s="122" t="s">
        <v>108</v>
      </c>
      <c r="D952" s="122" t="s">
        <v>286</v>
      </c>
      <c r="E952" s="122" t="s">
        <v>222</v>
      </c>
      <c r="F952" s="123">
        <f>F953</f>
        <v>11041.041999999999</v>
      </c>
      <c r="G952" s="123">
        <f t="shared" ref="G952:H954" si="201">G953</f>
        <v>0</v>
      </c>
      <c r="H952" s="123">
        <f t="shared" si="201"/>
        <v>0</v>
      </c>
    </row>
    <row r="953" spans="1:8" ht="50.25" customHeight="1" x14ac:dyDescent="0.2">
      <c r="A953" s="251" t="s">
        <v>917</v>
      </c>
      <c r="B953" s="8" t="s">
        <v>915</v>
      </c>
      <c r="C953" s="8" t="s">
        <v>108</v>
      </c>
      <c r="D953" s="8" t="s">
        <v>279</v>
      </c>
      <c r="E953" s="8" t="s">
        <v>222</v>
      </c>
      <c r="F953" s="129">
        <f>F954</f>
        <v>11041.041999999999</v>
      </c>
      <c r="G953" s="129">
        <f t="shared" si="201"/>
        <v>0</v>
      </c>
      <c r="H953" s="129">
        <f t="shared" si="201"/>
        <v>0</v>
      </c>
    </row>
    <row r="954" spans="1:8" ht="18.75" customHeight="1" x14ac:dyDescent="0.2">
      <c r="A954" s="250" t="s">
        <v>743</v>
      </c>
      <c r="B954" s="127" t="s">
        <v>915</v>
      </c>
      <c r="C954" s="127" t="s">
        <v>108</v>
      </c>
      <c r="D954" s="127" t="s">
        <v>279</v>
      </c>
      <c r="E954" s="127" t="s">
        <v>222</v>
      </c>
      <c r="F954" s="128">
        <f>F955</f>
        <v>11041.041999999999</v>
      </c>
      <c r="G954" s="128">
        <f t="shared" si="201"/>
        <v>0</v>
      </c>
      <c r="H954" s="128">
        <f t="shared" si="201"/>
        <v>0</v>
      </c>
    </row>
    <row r="955" spans="1:8" s="130" customFormat="1" ht="96.6" customHeight="1" x14ac:dyDescent="0.2">
      <c r="A955" s="251" t="s">
        <v>197</v>
      </c>
      <c r="B955" s="8" t="s">
        <v>915</v>
      </c>
      <c r="C955" s="8" t="s">
        <v>108</v>
      </c>
      <c r="D955" s="8" t="s">
        <v>279</v>
      </c>
      <c r="E955" s="8" t="s">
        <v>222</v>
      </c>
      <c r="F955" s="129">
        <f>F956</f>
        <v>11041.041999999999</v>
      </c>
      <c r="G955" s="129">
        <f>G956</f>
        <v>0</v>
      </c>
      <c r="H955" s="129">
        <f>H956</f>
        <v>0</v>
      </c>
    </row>
    <row r="956" spans="1:8" ht="18" customHeight="1" x14ac:dyDescent="0.2">
      <c r="A956" s="250" t="s">
        <v>918</v>
      </c>
      <c r="B956" s="127" t="s">
        <v>915</v>
      </c>
      <c r="C956" s="127" t="s">
        <v>108</v>
      </c>
      <c r="D956" s="127" t="s">
        <v>279</v>
      </c>
      <c r="E956" s="127" t="s">
        <v>919</v>
      </c>
      <c r="F956" s="128">
        <f>'5'!D219</f>
        <v>11041.041999999999</v>
      </c>
      <c r="G956" s="128">
        <f>'5'!E219</f>
        <v>0</v>
      </c>
      <c r="H956" s="128">
        <f>'5'!F219</f>
        <v>0</v>
      </c>
    </row>
    <row r="957" spans="1:8" ht="51" customHeight="1" x14ac:dyDescent="0.2">
      <c r="A957" s="251" t="s">
        <v>185</v>
      </c>
      <c r="B957" s="8" t="s">
        <v>915</v>
      </c>
      <c r="C957" s="8" t="s">
        <v>108</v>
      </c>
      <c r="D957" s="8" t="s">
        <v>280</v>
      </c>
      <c r="E957" s="8" t="s">
        <v>222</v>
      </c>
      <c r="F957" s="129">
        <f>F958</f>
        <v>7883.3519999999999</v>
      </c>
      <c r="G957" s="129">
        <f>G958</f>
        <v>0</v>
      </c>
      <c r="H957" s="129">
        <f>H958</f>
        <v>0</v>
      </c>
    </row>
    <row r="958" spans="1:8" ht="16.5" customHeight="1" x14ac:dyDescent="0.2">
      <c r="A958" s="250" t="s">
        <v>918</v>
      </c>
      <c r="B958" s="127" t="s">
        <v>915</v>
      </c>
      <c r="C958" s="127" t="s">
        <v>108</v>
      </c>
      <c r="D958" s="127" t="s">
        <v>280</v>
      </c>
      <c r="E958" s="127" t="s">
        <v>919</v>
      </c>
      <c r="F958" s="128">
        <f>'5'!D220</f>
        <v>7883.3519999999999</v>
      </c>
      <c r="G958" s="128">
        <f>'5'!E220</f>
        <v>0</v>
      </c>
      <c r="H958" s="128">
        <f>'5'!F220</f>
        <v>0</v>
      </c>
    </row>
    <row r="959" spans="1:8" ht="48" hidden="1" customHeight="1" x14ac:dyDescent="0.2">
      <c r="A959" s="250" t="s">
        <v>185</v>
      </c>
      <c r="B959" s="127" t="s">
        <v>915</v>
      </c>
      <c r="C959" s="127" t="s">
        <v>108</v>
      </c>
      <c r="D959" s="127" t="s">
        <v>12</v>
      </c>
      <c r="E959" s="127" t="s">
        <v>222</v>
      </c>
      <c r="F959" s="128">
        <f>F960</f>
        <v>0</v>
      </c>
      <c r="G959" s="128">
        <f>G960</f>
        <v>0</v>
      </c>
      <c r="H959" s="128">
        <f>H960</f>
        <v>0</v>
      </c>
    </row>
    <row r="960" spans="1:8" ht="17.25" hidden="1" customHeight="1" x14ac:dyDescent="0.2">
      <c r="A960" s="250" t="s">
        <v>720</v>
      </c>
      <c r="B960" s="127" t="s">
        <v>915</v>
      </c>
      <c r="C960" s="127" t="s">
        <v>108</v>
      </c>
      <c r="D960" s="127" t="s">
        <v>12</v>
      </c>
      <c r="E960" s="127" t="s">
        <v>919</v>
      </c>
      <c r="F960" s="128"/>
      <c r="G960" s="128"/>
      <c r="H960" s="128"/>
    </row>
    <row r="961" spans="1:8" ht="33" customHeight="1" x14ac:dyDescent="0.2">
      <c r="A961" s="249" t="s">
        <v>920</v>
      </c>
      <c r="B961" s="122" t="s">
        <v>915</v>
      </c>
      <c r="C961" s="122" t="s">
        <v>111</v>
      </c>
      <c r="D961" s="122" t="s">
        <v>286</v>
      </c>
      <c r="E961" s="122" t="s">
        <v>222</v>
      </c>
      <c r="F961" s="123">
        <f>F962</f>
        <v>3954.1261500000001</v>
      </c>
      <c r="G961" s="123">
        <f t="shared" ref="G961:H961" si="202">G962</f>
        <v>0</v>
      </c>
      <c r="H961" s="123">
        <f t="shared" si="202"/>
        <v>0</v>
      </c>
    </row>
    <row r="962" spans="1:8" ht="33" customHeight="1" x14ac:dyDescent="0.2">
      <c r="A962" s="250" t="s">
        <v>247</v>
      </c>
      <c r="B962" s="127" t="s">
        <v>915</v>
      </c>
      <c r="C962" s="127" t="s">
        <v>111</v>
      </c>
      <c r="D962" s="127" t="s">
        <v>286</v>
      </c>
      <c r="E962" s="127" t="s">
        <v>222</v>
      </c>
      <c r="F962" s="128">
        <f>F963</f>
        <v>3954.1261500000001</v>
      </c>
      <c r="G962" s="128">
        <f t="shared" ref="G962:H963" si="203">G963</f>
        <v>0</v>
      </c>
      <c r="H962" s="128">
        <f t="shared" si="203"/>
        <v>0</v>
      </c>
    </row>
    <row r="963" spans="1:8" ht="18.75" customHeight="1" x14ac:dyDescent="0.2">
      <c r="A963" s="250" t="s">
        <v>743</v>
      </c>
      <c r="B963" s="127" t="s">
        <v>915</v>
      </c>
      <c r="C963" s="127" t="s">
        <v>111</v>
      </c>
      <c r="D963" s="127" t="s">
        <v>286</v>
      </c>
      <c r="E963" s="127" t="s">
        <v>744</v>
      </c>
      <c r="F963" s="357">
        <f>F964</f>
        <v>3954.1261500000001</v>
      </c>
      <c r="G963" s="128">
        <f t="shared" si="203"/>
        <v>0</v>
      </c>
      <c r="H963" s="128">
        <f t="shared" si="203"/>
        <v>0</v>
      </c>
    </row>
    <row r="964" spans="1:8" ht="17.25" customHeight="1" x14ac:dyDescent="0.2">
      <c r="A964" s="250" t="s">
        <v>175</v>
      </c>
      <c r="B964" s="127" t="s">
        <v>915</v>
      </c>
      <c r="C964" s="127" t="s">
        <v>111</v>
      </c>
      <c r="D964" s="127" t="s">
        <v>281</v>
      </c>
      <c r="E964" s="127" t="s">
        <v>761</v>
      </c>
      <c r="F964" s="357">
        <f>'5'!D221+'5'!D223</f>
        <v>3954.1261500000001</v>
      </c>
      <c r="G964" s="357">
        <f>'5'!E221+'5'!E223</f>
        <v>0</v>
      </c>
      <c r="H964" s="357">
        <f>'5'!F221+'5'!F223</f>
        <v>0</v>
      </c>
    </row>
    <row r="965" spans="1:8" ht="32.25" hidden="1" customHeight="1" x14ac:dyDescent="0.2">
      <c r="A965" s="250" t="s">
        <v>920</v>
      </c>
      <c r="B965" s="127" t="s">
        <v>915</v>
      </c>
      <c r="C965" s="127" t="s">
        <v>111</v>
      </c>
      <c r="D965" s="127" t="s">
        <v>281</v>
      </c>
      <c r="E965" s="127" t="s">
        <v>761</v>
      </c>
      <c r="F965" s="357">
        <f>F966</f>
        <v>0</v>
      </c>
      <c r="G965" s="128">
        <f>G966</f>
        <v>0</v>
      </c>
      <c r="H965" s="128">
        <f>H966</f>
        <v>0</v>
      </c>
    </row>
    <row r="966" spans="1:8" ht="24.75" hidden="1" customHeight="1" x14ac:dyDescent="0.2">
      <c r="A966" s="250" t="s">
        <v>743</v>
      </c>
      <c r="B966" s="127" t="s">
        <v>915</v>
      </c>
      <c r="C966" s="127" t="s">
        <v>111</v>
      </c>
      <c r="D966" s="127" t="s">
        <v>281</v>
      </c>
      <c r="E966" s="127" t="s">
        <v>761</v>
      </c>
      <c r="F966" s="357"/>
      <c r="G966" s="128"/>
      <c r="H966" s="128"/>
    </row>
    <row r="967" spans="1:8" ht="147.75" hidden="1" customHeight="1" x14ac:dyDescent="0.2">
      <c r="A967" s="250" t="s">
        <v>271</v>
      </c>
      <c r="B967" s="127" t="s">
        <v>915</v>
      </c>
      <c r="C967" s="127" t="s">
        <v>111</v>
      </c>
      <c r="D967" s="127" t="s">
        <v>281</v>
      </c>
      <c r="E967" s="127" t="s">
        <v>761</v>
      </c>
      <c r="F967" s="357"/>
      <c r="G967" s="128"/>
      <c r="H967" s="128"/>
    </row>
    <row r="968" spans="1:8" ht="82.9" hidden="1" customHeight="1" x14ac:dyDescent="0.2">
      <c r="A968" s="250" t="s">
        <v>921</v>
      </c>
      <c r="B968" s="127" t="s">
        <v>915</v>
      </c>
      <c r="C968" s="127" t="s">
        <v>111</v>
      </c>
      <c r="D968" s="127" t="s">
        <v>922</v>
      </c>
      <c r="E968" s="127" t="s">
        <v>761</v>
      </c>
      <c r="F968" s="357"/>
      <c r="G968" s="128"/>
      <c r="H968" s="128"/>
    </row>
    <row r="969" spans="1:8" ht="33.75" customHeight="1" x14ac:dyDescent="0.2">
      <c r="A969" s="258" t="s">
        <v>794</v>
      </c>
      <c r="B969" s="135" t="s">
        <v>915</v>
      </c>
      <c r="C969" s="135" t="s">
        <v>109</v>
      </c>
      <c r="D969" s="135" t="s">
        <v>6</v>
      </c>
      <c r="E969" s="135" t="s">
        <v>222</v>
      </c>
      <c r="F969" s="148">
        <f>F970+F972+F974</f>
        <v>0</v>
      </c>
      <c r="G969" s="136">
        <f>G970+G972+G974</f>
        <v>11791.041999999999</v>
      </c>
      <c r="H969" s="136">
        <f>H970+H972+H974</f>
        <v>11741.041999999999</v>
      </c>
    </row>
    <row r="970" spans="1:8" ht="116.25" customHeight="1" x14ac:dyDescent="0.2">
      <c r="A970" s="250" t="s">
        <v>197</v>
      </c>
      <c r="B970" s="127" t="s">
        <v>915</v>
      </c>
      <c r="C970" s="127" t="s">
        <v>108</v>
      </c>
      <c r="D970" s="127" t="s">
        <v>262</v>
      </c>
      <c r="E970" s="127" t="s">
        <v>744</v>
      </c>
      <c r="F970" s="357">
        <f>F971</f>
        <v>0</v>
      </c>
      <c r="G970" s="128">
        <f>G971</f>
        <v>11041.041999999999</v>
      </c>
      <c r="H970" s="128">
        <f>H971</f>
        <v>11041.041999999999</v>
      </c>
    </row>
    <row r="971" spans="1:8" ht="20.25" customHeight="1" x14ac:dyDescent="0.2">
      <c r="A971" s="250" t="s">
        <v>918</v>
      </c>
      <c r="B971" s="127" t="s">
        <v>915</v>
      </c>
      <c r="C971" s="127" t="s">
        <v>108</v>
      </c>
      <c r="D971" s="127" t="s">
        <v>262</v>
      </c>
      <c r="E971" s="127" t="s">
        <v>919</v>
      </c>
      <c r="F971" s="128">
        <v>0</v>
      </c>
      <c r="G971" s="14">
        <f>'5'!E328</f>
        <v>11041.041999999999</v>
      </c>
      <c r="H971" s="14">
        <f>'5'!F328</f>
        <v>11041.041999999999</v>
      </c>
    </row>
    <row r="972" spans="1:8" ht="53.45" customHeight="1" x14ac:dyDescent="0.2">
      <c r="A972" s="250" t="s">
        <v>185</v>
      </c>
      <c r="B972" s="127" t="s">
        <v>915</v>
      </c>
      <c r="C972" s="127" t="s">
        <v>108</v>
      </c>
      <c r="D972" s="127" t="s">
        <v>565</v>
      </c>
      <c r="E972" s="127" t="s">
        <v>744</v>
      </c>
      <c r="F972" s="128">
        <f>F973</f>
        <v>0</v>
      </c>
      <c r="G972" s="128">
        <f>G973</f>
        <v>650</v>
      </c>
      <c r="H972" s="128">
        <f>H973</f>
        <v>600</v>
      </c>
    </row>
    <row r="973" spans="1:8" ht="20.25" customHeight="1" x14ac:dyDescent="0.2">
      <c r="A973" s="250" t="s">
        <v>918</v>
      </c>
      <c r="B973" s="127" t="s">
        <v>915</v>
      </c>
      <c r="C973" s="127" t="s">
        <v>108</v>
      </c>
      <c r="D973" s="127" t="s">
        <v>565</v>
      </c>
      <c r="E973" s="127" t="s">
        <v>919</v>
      </c>
      <c r="F973" s="128">
        <v>0</v>
      </c>
      <c r="G973" s="128">
        <f>'5'!E329</f>
        <v>650</v>
      </c>
      <c r="H973" s="128">
        <f>'5'!F329</f>
        <v>600</v>
      </c>
    </row>
    <row r="974" spans="1:8" ht="33" customHeight="1" x14ac:dyDescent="0.2">
      <c r="A974" s="250" t="s">
        <v>920</v>
      </c>
      <c r="B974" s="127" t="s">
        <v>915</v>
      </c>
      <c r="C974" s="127" t="s">
        <v>111</v>
      </c>
      <c r="D974" s="127" t="s">
        <v>566</v>
      </c>
      <c r="E974" s="127" t="s">
        <v>744</v>
      </c>
      <c r="F974" s="128">
        <f>F975</f>
        <v>0</v>
      </c>
      <c r="G974" s="128">
        <f>G975</f>
        <v>100</v>
      </c>
      <c r="H974" s="128">
        <f>H975</f>
        <v>100</v>
      </c>
    </row>
    <row r="975" spans="1:8" ht="20.25" customHeight="1" x14ac:dyDescent="0.2">
      <c r="A975" s="250" t="s">
        <v>175</v>
      </c>
      <c r="B975" s="127" t="s">
        <v>915</v>
      </c>
      <c r="C975" s="127" t="s">
        <v>111</v>
      </c>
      <c r="D975" s="127" t="s">
        <v>566</v>
      </c>
      <c r="E975" s="127" t="s">
        <v>761</v>
      </c>
      <c r="F975" s="128">
        <v>0</v>
      </c>
      <c r="G975" s="128">
        <f>'5'!E330</f>
        <v>100</v>
      </c>
      <c r="H975" s="128">
        <f>'5'!F330</f>
        <v>100</v>
      </c>
    </row>
    <row r="976" spans="1:8" s="143" customFormat="1" ht="16.5" customHeight="1" x14ac:dyDescent="0.25">
      <c r="A976" s="138" t="s">
        <v>561</v>
      </c>
      <c r="B976" s="122"/>
      <c r="C976" s="122"/>
      <c r="D976" s="122"/>
      <c r="E976" s="122"/>
      <c r="F976" s="123">
        <v>0</v>
      </c>
      <c r="G976" s="164">
        <f>'5'!E331</f>
        <v>-11435.906199999998</v>
      </c>
      <c r="H976" s="164">
        <f>'5'!F331</f>
        <v>-23666.072322000004</v>
      </c>
    </row>
    <row r="977" spans="1:8" ht="18" customHeight="1" x14ac:dyDescent="0.2">
      <c r="A977" s="10" t="s">
        <v>132</v>
      </c>
      <c r="B977" s="419"/>
      <c r="C977" s="419"/>
      <c r="D977" s="419"/>
      <c r="E977" s="419"/>
      <c r="F977" s="146">
        <f>F13+F248+F207+F213+F232+F240+F383+F322+F393+F670+F867+F938+F950+F776+F771+F976</f>
        <v>1010516.7168374747</v>
      </c>
      <c r="G977" s="146">
        <f>G13+G207+G213+G232+G240+G383+G322+G393+G670+G867+G938+G950+G776+G771+G976</f>
        <v>738143.8602900001</v>
      </c>
      <c r="H977" s="146">
        <f>H13+H207+H213+H232+H240+H383+H322+H393+H670+H867+H938+H950+H776+H771+H976</f>
        <v>730828.52915800002</v>
      </c>
    </row>
    <row r="978" spans="1:8" x14ac:dyDescent="0.25">
      <c r="A978" s="165"/>
      <c r="B978" s="165"/>
      <c r="C978" s="166"/>
      <c r="D978" s="167"/>
      <c r="E978" s="166"/>
      <c r="F978" s="287"/>
      <c r="G978" s="288"/>
      <c r="H978" s="288"/>
    </row>
    <row r="979" spans="1:8" x14ac:dyDescent="0.25">
      <c r="D979" s="168"/>
      <c r="E979" s="169"/>
      <c r="F979" s="24">
        <f>F977-F980</f>
        <v>-2.52528116106987E-6</v>
      </c>
      <c r="G979" s="288"/>
      <c r="H979" s="289"/>
    </row>
    <row r="980" spans="1:8" x14ac:dyDescent="0.25">
      <c r="D980" s="170"/>
      <c r="E980" s="171"/>
      <c r="F980" s="112">
        <v>1010516.71684</v>
      </c>
      <c r="G980" s="132"/>
      <c r="H980" s="132"/>
    </row>
    <row r="981" spans="1:8" x14ac:dyDescent="0.25">
      <c r="A981" s="290"/>
      <c r="B981" s="112"/>
      <c r="C981" s="112"/>
      <c r="D981" s="172"/>
      <c r="E981" s="1"/>
      <c r="F981" s="132"/>
      <c r="G981" s="24"/>
      <c r="H981" s="31"/>
    </row>
    <row r="982" spans="1:8" x14ac:dyDescent="0.25">
      <c r="A982" s="290"/>
      <c r="B982" s="112"/>
      <c r="C982" s="112"/>
      <c r="D982" s="173"/>
      <c r="E982" s="173"/>
      <c r="F982" s="174"/>
      <c r="G982" s="132"/>
      <c r="H982" s="132"/>
    </row>
    <row r="983" spans="1:8" x14ac:dyDescent="0.25">
      <c r="A983" s="290"/>
      <c r="B983" s="112"/>
      <c r="C983" s="112"/>
      <c r="D983" s="112"/>
      <c r="E983" s="112"/>
      <c r="F983" s="291"/>
      <c r="G983" s="289"/>
      <c r="H983" s="289"/>
    </row>
    <row r="984" spans="1:8" ht="15" x14ac:dyDescent="0.2">
      <c r="A984" s="290"/>
      <c r="B984" s="112"/>
      <c r="C984" s="112"/>
      <c r="D984" s="112"/>
      <c r="E984" s="112"/>
      <c r="G984" s="132"/>
      <c r="H984" s="132"/>
    </row>
    <row r="985" spans="1:8" ht="15" x14ac:dyDescent="0.2">
      <c r="A985" s="290"/>
      <c r="B985" s="112"/>
      <c r="C985" s="112"/>
      <c r="D985" s="112"/>
      <c r="E985" s="142"/>
      <c r="G985" s="292"/>
      <c r="H985" s="292"/>
    </row>
    <row r="986" spans="1:8" x14ac:dyDescent="0.25">
      <c r="F986" s="132"/>
      <c r="G986" s="132"/>
      <c r="H986" s="132"/>
    </row>
  </sheetData>
  <mergeCells count="15">
    <mergeCell ref="A1:H1"/>
    <mergeCell ref="A2:H2"/>
    <mergeCell ref="A3:H3"/>
    <mergeCell ref="A4:H4"/>
    <mergeCell ref="A6:H6"/>
    <mergeCell ref="A7:H7"/>
    <mergeCell ref="A8:H8"/>
    <mergeCell ref="A10:A11"/>
    <mergeCell ref="B10:B11"/>
    <mergeCell ref="C10:C11"/>
    <mergeCell ref="D10:D11"/>
    <mergeCell ref="E10:E11"/>
    <mergeCell ref="F10:F11"/>
    <mergeCell ref="G10:G11"/>
    <mergeCell ref="H10:H11"/>
  </mergeCells>
  <pageMargins left="0.7" right="0.7" top="0.75" bottom="0.75" header="0.3" footer="0.3"/>
  <pageSetup paperSize="9" scale="63" orientation="portrait" r:id="rId1"/>
  <rowBreaks count="1" manualBreakCount="1">
    <brk id="3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1007"/>
  <sheetViews>
    <sheetView view="pageBreakPreview" topLeftCell="A891" zoomScale="75" zoomScaleSheetLayoutView="75" workbookViewId="0">
      <selection activeCell="C919" sqref="C919"/>
    </sheetView>
  </sheetViews>
  <sheetFormatPr defaultColWidth="8.7109375" defaultRowHeight="15" x14ac:dyDescent="0.25"/>
  <cols>
    <col min="1" max="1" width="43.28515625" style="324" customWidth="1"/>
    <col min="2" max="2" width="5.42578125" style="7" customWidth="1"/>
    <col min="3" max="3" width="4.7109375" style="7" customWidth="1"/>
    <col min="4" max="4" width="5.28515625" style="7" customWidth="1"/>
    <col min="5" max="5" width="15.85546875" style="7" customWidth="1"/>
    <col min="6" max="6" width="5.28515625" style="7" customWidth="1"/>
    <col min="7" max="8" width="17.7109375" style="7" customWidth="1"/>
    <col min="9" max="9" width="19.85546875" style="7" customWidth="1"/>
    <col min="10" max="10" width="255.7109375" style="7" hidden="1" customWidth="1"/>
    <col min="11" max="11" width="41.7109375" style="7" customWidth="1"/>
    <col min="12" max="12" width="15.140625" style="7" bestFit="1" customWidth="1"/>
    <col min="13" max="13" width="13.85546875" style="7" bestFit="1" customWidth="1"/>
    <col min="14" max="16384" width="8.7109375" style="7"/>
  </cols>
  <sheetData>
    <row r="1" spans="1:13" x14ac:dyDescent="0.25">
      <c r="B1" s="420"/>
      <c r="C1" s="420"/>
      <c r="D1" s="420"/>
      <c r="F1" s="420"/>
      <c r="G1" s="420"/>
      <c r="H1" s="446" t="s">
        <v>924</v>
      </c>
      <c r="I1" s="446"/>
      <c r="J1" s="52"/>
    </row>
    <row r="2" spans="1:13" x14ac:dyDescent="0.25">
      <c r="A2" s="447" t="s">
        <v>219</v>
      </c>
      <c r="B2" s="447"/>
      <c r="C2" s="447"/>
      <c r="D2" s="447"/>
      <c r="E2" s="447"/>
      <c r="F2" s="447"/>
      <c r="G2" s="447"/>
      <c r="H2" s="447"/>
      <c r="I2" s="447"/>
      <c r="J2" s="52"/>
    </row>
    <row r="3" spans="1:13" x14ac:dyDescent="0.25">
      <c r="A3" s="446" t="s">
        <v>239</v>
      </c>
      <c r="B3" s="446"/>
      <c r="C3" s="446"/>
      <c r="D3" s="446"/>
      <c r="E3" s="446"/>
      <c r="F3" s="446"/>
      <c r="G3" s="446"/>
      <c r="H3" s="446"/>
      <c r="I3" s="446"/>
      <c r="J3" s="52"/>
    </row>
    <row r="4" spans="1:13" x14ac:dyDescent="0.25">
      <c r="A4" s="446" t="s">
        <v>1140</v>
      </c>
      <c r="B4" s="446"/>
      <c r="C4" s="446"/>
      <c r="D4" s="446"/>
      <c r="E4" s="446"/>
      <c r="F4" s="446"/>
      <c r="G4" s="446"/>
      <c r="H4" s="446"/>
      <c r="I4" s="446"/>
      <c r="J4" s="52"/>
    </row>
    <row r="6" spans="1:13" x14ac:dyDescent="0.25">
      <c r="A6" s="448" t="s">
        <v>221</v>
      </c>
      <c r="B6" s="448"/>
      <c r="C6" s="448"/>
      <c r="D6" s="448"/>
      <c r="E6" s="448"/>
      <c r="F6" s="448"/>
      <c r="G6" s="448"/>
      <c r="H6" s="448"/>
      <c r="I6" s="448"/>
    </row>
    <row r="7" spans="1:13" ht="35.65" customHeight="1" x14ac:dyDescent="0.25">
      <c r="A7" s="443" t="s">
        <v>998</v>
      </c>
      <c r="B7" s="443"/>
      <c r="C7" s="443"/>
      <c r="D7" s="443"/>
      <c r="E7" s="443"/>
      <c r="F7" s="443"/>
      <c r="G7" s="443"/>
      <c r="H7" s="443"/>
      <c r="I7" s="443"/>
    </row>
    <row r="9" spans="1:13" x14ac:dyDescent="0.25">
      <c r="I9" s="420" t="s">
        <v>102</v>
      </c>
    </row>
    <row r="10" spans="1:13" ht="15" customHeight="1" x14ac:dyDescent="0.25">
      <c r="A10" s="445" t="s">
        <v>204</v>
      </c>
      <c r="B10" s="444" t="s">
        <v>925</v>
      </c>
      <c r="C10" s="444" t="s">
        <v>105</v>
      </c>
      <c r="D10" s="444" t="s">
        <v>106</v>
      </c>
      <c r="E10" s="444" t="s">
        <v>205</v>
      </c>
      <c r="F10" s="444" t="s">
        <v>926</v>
      </c>
      <c r="G10" s="444" t="s">
        <v>927</v>
      </c>
      <c r="H10" s="444" t="s">
        <v>928</v>
      </c>
      <c r="I10" s="444" t="s">
        <v>999</v>
      </c>
    </row>
    <row r="11" spans="1:13" ht="57.75" customHeight="1" x14ac:dyDescent="0.25">
      <c r="A11" s="445"/>
      <c r="B11" s="444"/>
      <c r="C11" s="444"/>
      <c r="D11" s="444"/>
      <c r="E11" s="444"/>
      <c r="F11" s="444"/>
      <c r="G11" s="444"/>
      <c r="H11" s="444"/>
      <c r="I11" s="444"/>
    </row>
    <row r="12" spans="1:13" ht="31.15" customHeight="1" x14ac:dyDescent="0.25">
      <c r="A12" s="325" t="s">
        <v>929</v>
      </c>
      <c r="B12" s="326">
        <v>951</v>
      </c>
      <c r="C12" s="326" t="s">
        <v>109</v>
      </c>
      <c r="D12" s="326" t="s">
        <v>109</v>
      </c>
      <c r="E12" s="326" t="s">
        <v>666</v>
      </c>
      <c r="F12" s="326" t="s">
        <v>222</v>
      </c>
      <c r="G12" s="177">
        <f>G13+G153+G158+G177+G185+G267+G323+G333+G400+G506+G582+G629+G500</f>
        <v>290118.43875747471</v>
      </c>
      <c r="H12" s="177">
        <f>H13+H153+H158+H177+H185+H267+H323+H333+H400+H506+H582+H629+H500</f>
        <v>174234.66090999998</v>
      </c>
      <c r="I12" s="177">
        <f>I13+I153+I158+I177+I185+I267+I323+I333+I400+I506+I582+I629+I500</f>
        <v>176383.22572999998</v>
      </c>
      <c r="J12" s="7">
        <v>148512.97127000001</v>
      </c>
    </row>
    <row r="13" spans="1:13" ht="26.25" customHeight="1" x14ac:dyDescent="0.25">
      <c r="A13" s="303" t="s">
        <v>665</v>
      </c>
      <c r="B13" s="185">
        <v>951</v>
      </c>
      <c r="C13" s="185" t="s">
        <v>108</v>
      </c>
      <c r="D13" s="185" t="s">
        <v>109</v>
      </c>
      <c r="E13" s="185" t="s">
        <v>666</v>
      </c>
      <c r="F13" s="185" t="s">
        <v>222</v>
      </c>
      <c r="G13" s="178">
        <f>G14+G20+G32+G39+G45+G36</f>
        <v>75877.648389999988</v>
      </c>
      <c r="H13" s="178">
        <f>H14+H20+H32+H39+H45+H36</f>
        <v>66008.720349999989</v>
      </c>
      <c r="I13" s="178">
        <f>I14+I20+I32+I39+I45+I36</f>
        <v>66356.61933999999</v>
      </c>
      <c r="J13" s="45">
        <f>J12-G12</f>
        <v>-141605.4674874747</v>
      </c>
      <c r="L13" s="45"/>
    </row>
    <row r="14" spans="1:13" ht="44.65" customHeight="1" x14ac:dyDescent="0.25">
      <c r="A14" s="255" t="s">
        <v>667</v>
      </c>
      <c r="B14" s="17">
        <v>951</v>
      </c>
      <c r="C14" s="6" t="s">
        <v>108</v>
      </c>
      <c r="D14" s="6" t="s">
        <v>668</v>
      </c>
      <c r="E14" s="6" t="s">
        <v>666</v>
      </c>
      <c r="F14" s="6" t="s">
        <v>222</v>
      </c>
      <c r="G14" s="13">
        <f>G15</f>
        <v>3401.1759499999998</v>
      </c>
      <c r="H14" s="13">
        <f>H15</f>
        <v>3257.7</v>
      </c>
      <c r="I14" s="13">
        <f>I15</f>
        <v>3257.7</v>
      </c>
      <c r="J14" s="45"/>
    </row>
    <row r="15" spans="1:13" ht="32.65" customHeight="1" x14ac:dyDescent="0.25">
      <c r="A15" s="255" t="s">
        <v>669</v>
      </c>
      <c r="B15" s="17">
        <v>951</v>
      </c>
      <c r="C15" s="6" t="s">
        <v>108</v>
      </c>
      <c r="D15" s="6" t="s">
        <v>668</v>
      </c>
      <c r="E15" s="6" t="s">
        <v>5</v>
      </c>
      <c r="F15" s="6" t="s">
        <v>222</v>
      </c>
      <c r="G15" s="13">
        <f t="shared" ref="G15:I18" si="0">G16</f>
        <v>3401.1759499999998</v>
      </c>
      <c r="H15" s="13">
        <f t="shared" si="0"/>
        <v>3257.7</v>
      </c>
      <c r="I15" s="13">
        <f t="shared" si="0"/>
        <v>3257.7</v>
      </c>
    </row>
    <row r="16" spans="1:13" ht="45.75" customHeight="1" x14ac:dyDescent="0.25">
      <c r="A16" s="255" t="s">
        <v>110</v>
      </c>
      <c r="B16" s="17">
        <v>951</v>
      </c>
      <c r="C16" s="6" t="s">
        <v>108</v>
      </c>
      <c r="D16" s="6" t="s">
        <v>668</v>
      </c>
      <c r="E16" s="6" t="s">
        <v>6</v>
      </c>
      <c r="F16" s="6" t="s">
        <v>222</v>
      </c>
      <c r="G16" s="13">
        <f t="shared" si="0"/>
        <v>3401.1759499999998</v>
      </c>
      <c r="H16" s="13">
        <f t="shared" si="0"/>
        <v>3257.7</v>
      </c>
      <c r="I16" s="13">
        <f t="shared" si="0"/>
        <v>3257.7</v>
      </c>
      <c r="M16" s="45"/>
    </row>
    <row r="17" spans="1:9" ht="16.5" customHeight="1" x14ac:dyDescent="0.25">
      <c r="A17" s="255" t="s">
        <v>227</v>
      </c>
      <c r="B17" s="17">
        <v>951</v>
      </c>
      <c r="C17" s="6" t="s">
        <v>108</v>
      </c>
      <c r="D17" s="6" t="s">
        <v>668</v>
      </c>
      <c r="E17" s="6" t="s">
        <v>7</v>
      </c>
      <c r="F17" s="6" t="s">
        <v>222</v>
      </c>
      <c r="G17" s="13">
        <f t="shared" si="0"/>
        <v>3401.1759499999998</v>
      </c>
      <c r="H17" s="13">
        <f t="shared" si="0"/>
        <v>3257.7</v>
      </c>
      <c r="I17" s="13">
        <f t="shared" si="0"/>
        <v>3257.7</v>
      </c>
    </row>
    <row r="18" spans="1:9" ht="98.25" customHeight="1" x14ac:dyDescent="0.25">
      <c r="A18" s="255" t="s">
        <v>670</v>
      </c>
      <c r="B18" s="17">
        <v>951</v>
      </c>
      <c r="C18" s="6" t="s">
        <v>108</v>
      </c>
      <c r="D18" s="6" t="s">
        <v>668</v>
      </c>
      <c r="E18" s="6" t="s">
        <v>7</v>
      </c>
      <c r="F18" s="6" t="s">
        <v>671</v>
      </c>
      <c r="G18" s="13">
        <f t="shared" si="0"/>
        <v>3401.1759499999998</v>
      </c>
      <c r="H18" s="13">
        <f t="shared" si="0"/>
        <v>3257.7</v>
      </c>
      <c r="I18" s="13">
        <f t="shared" si="0"/>
        <v>3257.7</v>
      </c>
    </row>
    <row r="19" spans="1:9" ht="30.6" customHeight="1" x14ac:dyDescent="0.25">
      <c r="A19" s="255" t="s">
        <v>672</v>
      </c>
      <c r="B19" s="17">
        <v>951</v>
      </c>
      <c r="C19" s="6" t="s">
        <v>108</v>
      </c>
      <c r="D19" s="6" t="s">
        <v>668</v>
      </c>
      <c r="E19" s="6" t="s">
        <v>7</v>
      </c>
      <c r="F19" s="6" t="s">
        <v>673</v>
      </c>
      <c r="G19" s="13">
        <f>'5'!D263</f>
        <v>3401.1759499999998</v>
      </c>
      <c r="H19" s="13">
        <f>'5'!E263</f>
        <v>3257.7</v>
      </c>
      <c r="I19" s="13">
        <f>'5'!F263</f>
        <v>3257.7</v>
      </c>
    </row>
    <row r="20" spans="1:9" ht="75" x14ac:dyDescent="0.25">
      <c r="A20" s="301" t="s">
        <v>684</v>
      </c>
      <c r="B20" s="179">
        <v>951</v>
      </c>
      <c r="C20" s="180" t="s">
        <v>108</v>
      </c>
      <c r="D20" s="180" t="s">
        <v>113</v>
      </c>
      <c r="E20" s="180" t="s">
        <v>666</v>
      </c>
      <c r="F20" s="180" t="s">
        <v>222</v>
      </c>
      <c r="G20" s="181">
        <f>G21</f>
        <v>45253.054659999994</v>
      </c>
      <c r="H20" s="181">
        <f t="shared" ref="H20:I22" si="1">H21</f>
        <v>42495.899999999994</v>
      </c>
      <c r="I20" s="181">
        <f t="shared" si="1"/>
        <v>42495.899999999994</v>
      </c>
    </row>
    <row r="21" spans="1:9" ht="30" x14ac:dyDescent="0.25">
      <c r="A21" s="255" t="s">
        <v>669</v>
      </c>
      <c r="B21" s="17">
        <v>951</v>
      </c>
      <c r="C21" s="6" t="s">
        <v>108</v>
      </c>
      <c r="D21" s="6" t="s">
        <v>113</v>
      </c>
      <c r="E21" s="6" t="s">
        <v>5</v>
      </c>
      <c r="F21" s="6" t="s">
        <v>222</v>
      </c>
      <c r="G21" s="13">
        <f>G22</f>
        <v>45253.054659999994</v>
      </c>
      <c r="H21" s="13">
        <f t="shared" si="1"/>
        <v>42495.899999999994</v>
      </c>
      <c r="I21" s="13">
        <f t="shared" si="1"/>
        <v>42495.899999999994</v>
      </c>
    </row>
    <row r="22" spans="1:9" ht="45" customHeight="1" x14ac:dyDescent="0.25">
      <c r="A22" s="255" t="s">
        <v>110</v>
      </c>
      <c r="B22" s="17">
        <v>951</v>
      </c>
      <c r="C22" s="6" t="s">
        <v>108</v>
      </c>
      <c r="D22" s="6" t="s">
        <v>113</v>
      </c>
      <c r="E22" s="6" t="s">
        <v>6</v>
      </c>
      <c r="F22" s="6" t="s">
        <v>222</v>
      </c>
      <c r="G22" s="13">
        <f>G23</f>
        <v>45253.054659999994</v>
      </c>
      <c r="H22" s="13">
        <f t="shared" si="1"/>
        <v>42495.899999999994</v>
      </c>
      <c r="I22" s="13">
        <f t="shared" si="1"/>
        <v>42495.899999999994</v>
      </c>
    </row>
    <row r="23" spans="1:9" ht="45" customHeight="1" x14ac:dyDescent="0.25">
      <c r="A23" s="255" t="s">
        <v>112</v>
      </c>
      <c r="B23" s="17">
        <v>951</v>
      </c>
      <c r="C23" s="6" t="s">
        <v>108</v>
      </c>
      <c r="D23" s="6" t="s">
        <v>113</v>
      </c>
      <c r="E23" s="6" t="s">
        <v>9</v>
      </c>
      <c r="F23" s="6" t="s">
        <v>222</v>
      </c>
      <c r="G23" s="13">
        <f>G24+G26+G30+G28</f>
        <v>45253.054659999994</v>
      </c>
      <c r="H23" s="13">
        <f>H24+H26+H30</f>
        <v>42495.899999999994</v>
      </c>
      <c r="I23" s="13">
        <f>I24+I26+I30</f>
        <v>42495.899999999994</v>
      </c>
    </row>
    <row r="24" spans="1:9" ht="90.75" customHeight="1" x14ac:dyDescent="0.25">
      <c r="A24" s="255" t="s">
        <v>670</v>
      </c>
      <c r="B24" s="17">
        <v>951</v>
      </c>
      <c r="C24" s="6" t="s">
        <v>108</v>
      </c>
      <c r="D24" s="6" t="s">
        <v>113</v>
      </c>
      <c r="E24" s="4" t="s">
        <v>9</v>
      </c>
      <c r="F24" s="4" t="s">
        <v>671</v>
      </c>
      <c r="G24" s="11">
        <f>G25</f>
        <v>34636.947329999995</v>
      </c>
      <c r="H24" s="11">
        <f>H25</f>
        <v>35507.799999999996</v>
      </c>
      <c r="I24" s="11">
        <f>I25</f>
        <v>35507.799999999996</v>
      </c>
    </row>
    <row r="25" spans="1:9" ht="31.15" customHeight="1" x14ac:dyDescent="0.25">
      <c r="A25" s="255" t="s">
        <v>672</v>
      </c>
      <c r="B25" s="17">
        <v>951</v>
      </c>
      <c r="C25" s="6" t="s">
        <v>108</v>
      </c>
      <c r="D25" s="6" t="s">
        <v>113</v>
      </c>
      <c r="E25" s="4" t="s">
        <v>9</v>
      </c>
      <c r="F25" s="4" t="s">
        <v>673</v>
      </c>
      <c r="G25" s="11">
        <f>'3'!F40</f>
        <v>34636.947329999995</v>
      </c>
      <c r="H25" s="11">
        <f>'3'!G40</f>
        <v>35507.799999999996</v>
      </c>
      <c r="I25" s="11">
        <f>'3'!H40</f>
        <v>35507.799999999996</v>
      </c>
    </row>
    <row r="26" spans="1:9" ht="30" x14ac:dyDescent="0.25">
      <c r="A26" s="255" t="s">
        <v>676</v>
      </c>
      <c r="B26" s="17">
        <v>951</v>
      </c>
      <c r="C26" s="6" t="s">
        <v>108</v>
      </c>
      <c r="D26" s="6" t="s">
        <v>113</v>
      </c>
      <c r="E26" s="4" t="s">
        <v>9</v>
      </c>
      <c r="F26" s="4" t="s">
        <v>677</v>
      </c>
      <c r="G26" s="11">
        <f>G27</f>
        <v>9950.5889999999999</v>
      </c>
      <c r="H26" s="11">
        <f>H27</f>
        <v>6483</v>
      </c>
      <c r="I26" s="11">
        <f>I27</f>
        <v>6483</v>
      </c>
    </row>
    <row r="27" spans="1:9" ht="45" x14ac:dyDescent="0.25">
      <c r="A27" s="255" t="s">
        <v>678</v>
      </c>
      <c r="B27" s="17">
        <v>951</v>
      </c>
      <c r="C27" s="6" t="s">
        <v>108</v>
      </c>
      <c r="D27" s="6" t="s">
        <v>113</v>
      </c>
      <c r="E27" s="4" t="s">
        <v>9</v>
      </c>
      <c r="F27" s="4" t="s">
        <v>679</v>
      </c>
      <c r="G27" s="11">
        <f>'3'!F42</f>
        <v>9950.5889999999999</v>
      </c>
      <c r="H27" s="11">
        <f>'3'!G42</f>
        <v>6483</v>
      </c>
      <c r="I27" s="11">
        <f>'3'!H42</f>
        <v>6483</v>
      </c>
    </row>
    <row r="28" spans="1:9" ht="30" x14ac:dyDescent="0.25">
      <c r="A28" s="255" t="s">
        <v>832</v>
      </c>
      <c r="B28" s="17">
        <v>952</v>
      </c>
      <c r="C28" s="6" t="s">
        <v>108</v>
      </c>
      <c r="D28" s="6" t="s">
        <v>113</v>
      </c>
      <c r="E28" s="4" t="s">
        <v>9</v>
      </c>
      <c r="F28" s="4" t="s">
        <v>833</v>
      </c>
      <c r="G28" s="11">
        <f>G29</f>
        <v>2.4183300000000001</v>
      </c>
      <c r="H28" s="11">
        <f t="shared" ref="H28:I28" si="2">H29</f>
        <v>0</v>
      </c>
      <c r="I28" s="11">
        <f t="shared" si="2"/>
        <v>0</v>
      </c>
    </row>
    <row r="29" spans="1:9" ht="30" x14ac:dyDescent="0.25">
      <c r="A29" s="255" t="s">
        <v>122</v>
      </c>
      <c r="B29" s="17">
        <v>953</v>
      </c>
      <c r="C29" s="6" t="s">
        <v>108</v>
      </c>
      <c r="D29" s="6" t="s">
        <v>113</v>
      </c>
      <c r="E29" s="4" t="s">
        <v>9</v>
      </c>
      <c r="F29" s="4" t="s">
        <v>878</v>
      </c>
      <c r="G29" s="11">
        <f>'3'!F44</f>
        <v>2.4183300000000001</v>
      </c>
      <c r="H29" s="11">
        <f>'3'!G44</f>
        <v>0</v>
      </c>
      <c r="I29" s="11">
        <f>'3'!H44</f>
        <v>0</v>
      </c>
    </row>
    <row r="30" spans="1:9" x14ac:dyDescent="0.25">
      <c r="A30" s="255" t="s">
        <v>680</v>
      </c>
      <c r="B30" s="17">
        <v>951</v>
      </c>
      <c r="C30" s="6" t="s">
        <v>108</v>
      </c>
      <c r="D30" s="6" t="s">
        <v>113</v>
      </c>
      <c r="E30" s="4" t="s">
        <v>9</v>
      </c>
      <c r="F30" s="4" t="s">
        <v>681</v>
      </c>
      <c r="G30" s="11">
        <f>G31</f>
        <v>663.1</v>
      </c>
      <c r="H30" s="13">
        <f>H31</f>
        <v>505.1</v>
      </c>
      <c r="I30" s="13">
        <f>I31</f>
        <v>505.1</v>
      </c>
    </row>
    <row r="31" spans="1:9" x14ac:dyDescent="0.25">
      <c r="A31" s="255" t="s">
        <v>682</v>
      </c>
      <c r="B31" s="17">
        <v>951</v>
      </c>
      <c r="C31" s="6" t="s">
        <v>108</v>
      </c>
      <c r="D31" s="6" t="s">
        <v>113</v>
      </c>
      <c r="E31" s="4" t="s">
        <v>9</v>
      </c>
      <c r="F31" s="4" t="s">
        <v>683</v>
      </c>
      <c r="G31" s="11">
        <f>'3'!F46</f>
        <v>663.1</v>
      </c>
      <c r="H31" s="13">
        <f>'3'!G46</f>
        <v>505.1</v>
      </c>
      <c r="I31" s="13">
        <f>'3'!H46</f>
        <v>505.1</v>
      </c>
    </row>
    <row r="32" spans="1:9" hidden="1" x14ac:dyDescent="0.25">
      <c r="A32" s="255" t="s">
        <v>691</v>
      </c>
      <c r="B32" s="17">
        <v>951</v>
      </c>
      <c r="C32" s="6" t="s">
        <v>108</v>
      </c>
      <c r="D32" s="6" t="s">
        <v>692</v>
      </c>
      <c r="E32" s="6" t="s">
        <v>666</v>
      </c>
      <c r="F32" s="6" t="s">
        <v>222</v>
      </c>
      <c r="G32" s="13">
        <f>G33</f>
        <v>0</v>
      </c>
      <c r="H32" s="13">
        <f t="shared" ref="H32:I34" si="3">H33</f>
        <v>0</v>
      </c>
      <c r="I32" s="13">
        <f t="shared" si="3"/>
        <v>0</v>
      </c>
    </row>
    <row r="33" spans="1:9" ht="30" hidden="1" x14ac:dyDescent="0.25">
      <c r="A33" s="255" t="s">
        <v>694</v>
      </c>
      <c r="B33" s="17">
        <v>951</v>
      </c>
      <c r="C33" s="6" t="s">
        <v>108</v>
      </c>
      <c r="D33" s="6" t="s">
        <v>692</v>
      </c>
      <c r="E33" s="6" t="s">
        <v>930</v>
      </c>
      <c r="F33" s="6" t="s">
        <v>222</v>
      </c>
      <c r="G33" s="13">
        <f>G34</f>
        <v>0</v>
      </c>
      <c r="H33" s="13">
        <f t="shared" si="3"/>
        <v>0</v>
      </c>
      <c r="I33" s="13">
        <f t="shared" si="3"/>
        <v>0</v>
      </c>
    </row>
    <row r="34" spans="1:9" hidden="1" x14ac:dyDescent="0.25">
      <c r="A34" s="255" t="s">
        <v>680</v>
      </c>
      <c r="B34" s="17">
        <v>951</v>
      </c>
      <c r="C34" s="6" t="s">
        <v>108</v>
      </c>
      <c r="D34" s="6" t="s">
        <v>692</v>
      </c>
      <c r="E34" s="6" t="s">
        <v>930</v>
      </c>
      <c r="F34" s="6" t="s">
        <v>681</v>
      </c>
      <c r="G34" s="13">
        <f>G35</f>
        <v>0</v>
      </c>
      <c r="H34" s="13">
        <f t="shared" si="3"/>
        <v>0</v>
      </c>
      <c r="I34" s="13">
        <f t="shared" si="3"/>
        <v>0</v>
      </c>
    </row>
    <row r="35" spans="1:9" hidden="1" x14ac:dyDescent="0.25">
      <c r="A35" s="255" t="s">
        <v>696</v>
      </c>
      <c r="B35" s="17">
        <v>951</v>
      </c>
      <c r="C35" s="6" t="s">
        <v>108</v>
      </c>
      <c r="D35" s="6" t="s">
        <v>692</v>
      </c>
      <c r="E35" s="6" t="s">
        <v>930</v>
      </c>
      <c r="F35" s="6" t="s">
        <v>697</v>
      </c>
      <c r="G35" s="13"/>
      <c r="H35" s="13"/>
      <c r="I35" s="13"/>
    </row>
    <row r="36" spans="1:9" ht="44.25" customHeight="1" x14ac:dyDescent="0.25">
      <c r="A36" s="301" t="s">
        <v>394</v>
      </c>
      <c r="B36" s="179" t="s">
        <v>117</v>
      </c>
      <c r="C36" s="180" t="s">
        <v>108</v>
      </c>
      <c r="D36" s="180" t="s">
        <v>685</v>
      </c>
      <c r="E36" s="180" t="s">
        <v>248</v>
      </c>
      <c r="F36" s="180" t="s">
        <v>222</v>
      </c>
      <c r="G36" s="181">
        <f t="shared" ref="G36:I37" si="4">G37</f>
        <v>11.829000000000001</v>
      </c>
      <c r="H36" s="181">
        <f t="shared" si="4"/>
        <v>12.269</v>
      </c>
      <c r="I36" s="181">
        <f t="shared" si="4"/>
        <v>151.56200000000001</v>
      </c>
    </row>
    <row r="37" spans="1:9" ht="30" x14ac:dyDescent="0.25">
      <c r="A37" s="255" t="s">
        <v>676</v>
      </c>
      <c r="B37" s="17" t="s">
        <v>117</v>
      </c>
      <c r="C37" s="6" t="s">
        <v>108</v>
      </c>
      <c r="D37" s="6" t="s">
        <v>685</v>
      </c>
      <c r="E37" s="6" t="s">
        <v>248</v>
      </c>
      <c r="F37" s="6" t="s">
        <v>677</v>
      </c>
      <c r="G37" s="13">
        <f t="shared" si="4"/>
        <v>11.829000000000001</v>
      </c>
      <c r="H37" s="13">
        <f t="shared" si="4"/>
        <v>12.269</v>
      </c>
      <c r="I37" s="13">
        <f t="shared" si="4"/>
        <v>151.56200000000001</v>
      </c>
    </row>
    <row r="38" spans="1:9" ht="45" x14ac:dyDescent="0.25">
      <c r="A38" s="255" t="s">
        <v>678</v>
      </c>
      <c r="B38" s="17" t="s">
        <v>117</v>
      </c>
      <c r="C38" s="6" t="s">
        <v>108</v>
      </c>
      <c r="D38" s="6" t="s">
        <v>685</v>
      </c>
      <c r="E38" s="6" t="s">
        <v>248</v>
      </c>
      <c r="F38" s="6" t="s">
        <v>679</v>
      </c>
      <c r="G38" s="11">
        <f>'5'!D317</f>
        <v>11.829000000000001</v>
      </c>
      <c r="H38" s="11">
        <f>'5'!E317</f>
        <v>12.269</v>
      </c>
      <c r="I38" s="11">
        <f>'5'!F317</f>
        <v>151.56200000000001</v>
      </c>
    </row>
    <row r="39" spans="1:9" x14ac:dyDescent="0.25">
      <c r="A39" s="301" t="s">
        <v>691</v>
      </c>
      <c r="B39" s="179" t="s">
        <v>117</v>
      </c>
      <c r="C39" s="180" t="s">
        <v>108</v>
      </c>
      <c r="D39" s="180" t="s">
        <v>692</v>
      </c>
      <c r="E39" s="180" t="s">
        <v>666</v>
      </c>
      <c r="F39" s="180" t="s">
        <v>222</v>
      </c>
      <c r="G39" s="181">
        <f t="shared" ref="G39:I43" si="5">G40</f>
        <v>6767.94823</v>
      </c>
      <c r="H39" s="181">
        <f t="shared" si="5"/>
        <v>2000</v>
      </c>
      <c r="I39" s="181">
        <f t="shared" si="5"/>
        <v>2000</v>
      </c>
    </row>
    <row r="40" spans="1:9" ht="30" x14ac:dyDescent="0.25">
      <c r="A40" s="302" t="s">
        <v>669</v>
      </c>
      <c r="B40" s="17" t="s">
        <v>117</v>
      </c>
      <c r="C40" s="6" t="s">
        <v>108</v>
      </c>
      <c r="D40" s="6" t="s">
        <v>692</v>
      </c>
      <c r="E40" s="182" t="s">
        <v>5</v>
      </c>
      <c r="F40" s="182" t="s">
        <v>222</v>
      </c>
      <c r="G40" s="13">
        <f t="shared" si="5"/>
        <v>6767.94823</v>
      </c>
      <c r="H40" s="13">
        <f t="shared" si="5"/>
        <v>2000</v>
      </c>
      <c r="I40" s="13">
        <f t="shared" si="5"/>
        <v>2000</v>
      </c>
    </row>
    <row r="41" spans="1:9" ht="45.75" customHeight="1" x14ac:dyDescent="0.25">
      <c r="A41" s="302" t="s">
        <v>110</v>
      </c>
      <c r="B41" s="17" t="s">
        <v>117</v>
      </c>
      <c r="C41" s="6" t="s">
        <v>108</v>
      </c>
      <c r="D41" s="6" t="s">
        <v>692</v>
      </c>
      <c r="E41" s="182" t="s">
        <v>6</v>
      </c>
      <c r="F41" s="182" t="s">
        <v>222</v>
      </c>
      <c r="G41" s="13">
        <f t="shared" si="5"/>
        <v>6767.94823</v>
      </c>
      <c r="H41" s="13">
        <f t="shared" si="5"/>
        <v>2000</v>
      </c>
      <c r="I41" s="13">
        <f t="shared" si="5"/>
        <v>2000</v>
      </c>
    </row>
    <row r="42" spans="1:9" ht="30" x14ac:dyDescent="0.25">
      <c r="A42" s="302" t="s">
        <v>306</v>
      </c>
      <c r="B42" s="17" t="s">
        <v>117</v>
      </c>
      <c r="C42" s="6" t="s">
        <v>108</v>
      </c>
      <c r="D42" s="6" t="s">
        <v>692</v>
      </c>
      <c r="E42" s="6" t="s">
        <v>307</v>
      </c>
      <c r="F42" s="182" t="s">
        <v>222</v>
      </c>
      <c r="G42" s="13">
        <f t="shared" si="5"/>
        <v>6767.94823</v>
      </c>
      <c r="H42" s="13">
        <f t="shared" si="5"/>
        <v>2000</v>
      </c>
      <c r="I42" s="13">
        <f t="shared" si="5"/>
        <v>2000</v>
      </c>
    </row>
    <row r="43" spans="1:9" x14ac:dyDescent="0.25">
      <c r="A43" s="302" t="s">
        <v>680</v>
      </c>
      <c r="B43" s="17" t="s">
        <v>117</v>
      </c>
      <c r="C43" s="6" t="s">
        <v>108</v>
      </c>
      <c r="D43" s="6" t="s">
        <v>692</v>
      </c>
      <c r="E43" s="6" t="s">
        <v>307</v>
      </c>
      <c r="F43" s="182" t="s">
        <v>681</v>
      </c>
      <c r="G43" s="13">
        <f t="shared" si="5"/>
        <v>6767.94823</v>
      </c>
      <c r="H43" s="13">
        <f t="shared" si="5"/>
        <v>2000</v>
      </c>
      <c r="I43" s="13">
        <f t="shared" si="5"/>
        <v>2000</v>
      </c>
    </row>
    <row r="44" spans="1:9" x14ac:dyDescent="0.25">
      <c r="A44" s="302" t="s">
        <v>696</v>
      </c>
      <c r="B44" s="17" t="s">
        <v>117</v>
      </c>
      <c r="C44" s="6" t="s">
        <v>108</v>
      </c>
      <c r="D44" s="6" t="s">
        <v>692</v>
      </c>
      <c r="E44" s="6" t="s">
        <v>307</v>
      </c>
      <c r="F44" s="182" t="s">
        <v>697</v>
      </c>
      <c r="G44" s="11">
        <f>'5'!D292</f>
        <v>6767.94823</v>
      </c>
      <c r="H44" s="11">
        <f>'5'!E292</f>
        <v>2000</v>
      </c>
      <c r="I44" s="11">
        <f>'5'!F292</f>
        <v>2000</v>
      </c>
    </row>
    <row r="45" spans="1:9" ht="17.100000000000001" customHeight="1" x14ac:dyDescent="0.25">
      <c r="A45" s="301" t="s">
        <v>702</v>
      </c>
      <c r="B45" s="179">
        <v>951</v>
      </c>
      <c r="C45" s="180" t="s">
        <v>108</v>
      </c>
      <c r="D45" s="180" t="s">
        <v>703</v>
      </c>
      <c r="E45" s="180" t="s">
        <v>666</v>
      </c>
      <c r="F45" s="180" t="s">
        <v>222</v>
      </c>
      <c r="G45" s="181">
        <f>G46+G80+G129+G147+G90+G74+G93+G150+G98+G166+G174</f>
        <v>20443.64055</v>
      </c>
      <c r="H45" s="181">
        <f>H46+H80+H129+H147+H90+H74+H93+H150+H98+H166+H174</f>
        <v>18242.851350000001</v>
      </c>
      <c r="I45" s="181">
        <f>I46+I80+I129+I147+I90+I74+I93+I150+I98+I166+I174</f>
        <v>18451.457339999997</v>
      </c>
    </row>
    <row r="46" spans="1:9" ht="16.5" customHeight="1" x14ac:dyDescent="0.25">
      <c r="A46" s="255" t="s">
        <v>704</v>
      </c>
      <c r="B46" s="17">
        <v>951</v>
      </c>
      <c r="C46" s="6" t="s">
        <v>108</v>
      </c>
      <c r="D46" s="6" t="s">
        <v>703</v>
      </c>
      <c r="E46" s="6" t="s">
        <v>666</v>
      </c>
      <c r="F46" s="6" t="s">
        <v>222</v>
      </c>
      <c r="G46" s="13">
        <f>G47+G52+G57+G62+G67+G72+G103</f>
        <v>8080.9763500000008</v>
      </c>
      <c r="H46" s="13">
        <f>H47+H52+H57+H62+H67+H72+H103</f>
        <v>7858.2413499999993</v>
      </c>
      <c r="I46" s="13">
        <f>I47+I52+I57+I62+I67+I72+I103</f>
        <v>8086.8473399999984</v>
      </c>
    </row>
    <row r="47" spans="1:9" ht="78.75" customHeight="1" x14ac:dyDescent="0.25">
      <c r="A47" s="277" t="s">
        <v>705</v>
      </c>
      <c r="B47" s="42">
        <v>951</v>
      </c>
      <c r="C47" s="18" t="s">
        <v>108</v>
      </c>
      <c r="D47" s="18" t="s">
        <v>703</v>
      </c>
      <c r="E47" s="18" t="s">
        <v>11</v>
      </c>
      <c r="F47" s="18" t="s">
        <v>222</v>
      </c>
      <c r="G47" s="15">
        <f>G48+G50</f>
        <v>1101.2190000000001</v>
      </c>
      <c r="H47" s="15">
        <f>H48+H50</f>
        <v>1111.5810000000001</v>
      </c>
      <c r="I47" s="15">
        <f>I48+I50</f>
        <v>1153.444</v>
      </c>
    </row>
    <row r="48" spans="1:9" ht="93.75" customHeight="1" x14ac:dyDescent="0.25">
      <c r="A48" s="255" t="s">
        <v>670</v>
      </c>
      <c r="B48" s="17">
        <v>951</v>
      </c>
      <c r="C48" s="6" t="s">
        <v>108</v>
      </c>
      <c r="D48" s="6" t="s">
        <v>703</v>
      </c>
      <c r="E48" s="6" t="s">
        <v>11</v>
      </c>
      <c r="F48" s="6" t="s">
        <v>671</v>
      </c>
      <c r="G48" s="13">
        <f>G49</f>
        <v>1078.8103600000002</v>
      </c>
      <c r="H48" s="13">
        <f>H49</f>
        <v>952.80700000000002</v>
      </c>
      <c r="I48" s="13">
        <f>I49</f>
        <v>952.80700000000002</v>
      </c>
    </row>
    <row r="49" spans="1:10" ht="29.65" customHeight="1" x14ac:dyDescent="0.25">
      <c r="A49" s="255" t="s">
        <v>672</v>
      </c>
      <c r="B49" s="17">
        <v>951</v>
      </c>
      <c r="C49" s="6" t="s">
        <v>108</v>
      </c>
      <c r="D49" s="6" t="s">
        <v>703</v>
      </c>
      <c r="E49" s="6" t="s">
        <v>11</v>
      </c>
      <c r="F49" s="6" t="s">
        <v>673</v>
      </c>
      <c r="G49" s="11">
        <f>'3'!F92</f>
        <v>1078.8103600000002</v>
      </c>
      <c r="H49" s="11">
        <f>'3'!G92</f>
        <v>952.80700000000002</v>
      </c>
      <c r="I49" s="11">
        <f>'3'!H92</f>
        <v>952.80700000000002</v>
      </c>
    </row>
    <row r="50" spans="1:10" ht="32.1" customHeight="1" x14ac:dyDescent="0.25">
      <c r="A50" s="255" t="s">
        <v>676</v>
      </c>
      <c r="B50" s="17">
        <v>951</v>
      </c>
      <c r="C50" s="6" t="s">
        <v>108</v>
      </c>
      <c r="D50" s="6" t="s">
        <v>703</v>
      </c>
      <c r="E50" s="6" t="s">
        <v>11</v>
      </c>
      <c r="F50" s="6" t="s">
        <v>677</v>
      </c>
      <c r="G50" s="11">
        <f>G51</f>
        <v>22.408639999999973</v>
      </c>
      <c r="H50" s="13">
        <f>H51</f>
        <v>158.774</v>
      </c>
      <c r="I50" s="13">
        <f>I51</f>
        <v>200.637</v>
      </c>
    </row>
    <row r="51" spans="1:10" ht="45.75" customHeight="1" x14ac:dyDescent="0.25">
      <c r="A51" s="255" t="s">
        <v>678</v>
      </c>
      <c r="B51" s="17">
        <v>951</v>
      </c>
      <c r="C51" s="6" t="s">
        <v>108</v>
      </c>
      <c r="D51" s="6" t="s">
        <v>703</v>
      </c>
      <c r="E51" s="6" t="s">
        <v>11</v>
      </c>
      <c r="F51" s="6" t="s">
        <v>679</v>
      </c>
      <c r="G51" s="11">
        <f>'3'!F94</f>
        <v>22.408639999999973</v>
      </c>
      <c r="H51" s="11">
        <f>'3'!G94</f>
        <v>158.774</v>
      </c>
      <c r="I51" s="11">
        <f>'3'!H94</f>
        <v>200.637</v>
      </c>
    </row>
    <row r="52" spans="1:10" ht="54" customHeight="1" x14ac:dyDescent="0.25">
      <c r="A52" s="277" t="s">
        <v>706</v>
      </c>
      <c r="B52" s="42">
        <v>951</v>
      </c>
      <c r="C52" s="18" t="s">
        <v>108</v>
      </c>
      <c r="D52" s="18" t="s">
        <v>703</v>
      </c>
      <c r="E52" s="18" t="s">
        <v>435</v>
      </c>
      <c r="F52" s="18" t="s">
        <v>222</v>
      </c>
      <c r="G52" s="15">
        <f>G53+G55</f>
        <v>1680.9669999999999</v>
      </c>
      <c r="H52" s="15">
        <f>H53+H55</f>
        <v>1844.0160000000001</v>
      </c>
      <c r="I52" s="15">
        <f>I53+I55</f>
        <v>1917.778</v>
      </c>
      <c r="J52" s="45">
        <v>2236.6860000000001</v>
      </c>
    </row>
    <row r="53" spans="1:10" ht="93.75" customHeight="1" x14ac:dyDescent="0.25">
      <c r="A53" s="255" t="s">
        <v>670</v>
      </c>
      <c r="B53" s="17" t="s">
        <v>117</v>
      </c>
      <c r="C53" s="6" t="s">
        <v>108</v>
      </c>
      <c r="D53" s="6" t="s">
        <v>703</v>
      </c>
      <c r="E53" s="6" t="s">
        <v>435</v>
      </c>
      <c r="F53" s="6" t="s">
        <v>671</v>
      </c>
      <c r="G53" s="11">
        <f>G54</f>
        <v>1680.9669999999999</v>
      </c>
      <c r="H53" s="13">
        <f>H54</f>
        <v>1844.0160000000001</v>
      </c>
      <c r="I53" s="13">
        <f>I54</f>
        <v>1917.778</v>
      </c>
      <c r="J53" s="45">
        <f>G54-J54</f>
        <v>316.58899999999994</v>
      </c>
    </row>
    <row r="54" spans="1:10" ht="32.65" customHeight="1" x14ac:dyDescent="0.25">
      <c r="A54" s="255" t="s">
        <v>672</v>
      </c>
      <c r="B54" s="17" t="s">
        <v>117</v>
      </c>
      <c r="C54" s="6" t="s">
        <v>108</v>
      </c>
      <c r="D54" s="6" t="s">
        <v>703</v>
      </c>
      <c r="E54" s="6" t="s">
        <v>435</v>
      </c>
      <c r="F54" s="6" t="s">
        <v>673</v>
      </c>
      <c r="G54" s="11">
        <f>'3'!F97</f>
        <v>1680.9669999999999</v>
      </c>
      <c r="H54" s="11">
        <f>'3'!G97</f>
        <v>1844.0160000000001</v>
      </c>
      <c r="I54" s="11">
        <f>'3'!H97</f>
        <v>1917.778</v>
      </c>
      <c r="J54" s="7">
        <v>1364.3779999999999</v>
      </c>
    </row>
    <row r="55" spans="1:10" ht="32.1" hidden="1" customHeight="1" x14ac:dyDescent="0.25">
      <c r="A55" s="255" t="s">
        <v>676</v>
      </c>
      <c r="B55" s="17">
        <v>951</v>
      </c>
      <c r="C55" s="6" t="s">
        <v>108</v>
      </c>
      <c r="D55" s="6" t="s">
        <v>703</v>
      </c>
      <c r="E55" s="6" t="s">
        <v>435</v>
      </c>
      <c r="F55" s="6" t="s">
        <v>677</v>
      </c>
      <c r="G55" s="11">
        <f>G56</f>
        <v>0</v>
      </c>
      <c r="H55" s="11">
        <f>H56</f>
        <v>0</v>
      </c>
      <c r="I55" s="11">
        <f>I56</f>
        <v>0</v>
      </c>
      <c r="J55" s="45">
        <f>J52-J54</f>
        <v>872.30800000000022</v>
      </c>
    </row>
    <row r="56" spans="1:10" ht="44.65" hidden="1" customHeight="1" x14ac:dyDescent="0.25">
      <c r="A56" s="255" t="s">
        <v>678</v>
      </c>
      <c r="B56" s="17">
        <v>951</v>
      </c>
      <c r="C56" s="6" t="s">
        <v>108</v>
      </c>
      <c r="D56" s="6" t="s">
        <v>703</v>
      </c>
      <c r="E56" s="6" t="s">
        <v>435</v>
      </c>
      <c r="F56" s="6" t="s">
        <v>679</v>
      </c>
      <c r="G56" s="11">
        <v>0</v>
      </c>
      <c r="H56" s="11">
        <v>0</v>
      </c>
      <c r="I56" s="11">
        <v>0</v>
      </c>
      <c r="J56" s="45">
        <f>J55-G59</f>
        <v>-309.83299999999986</v>
      </c>
    </row>
    <row r="57" spans="1:10" ht="49.5" customHeight="1" x14ac:dyDescent="0.25">
      <c r="A57" s="277" t="s">
        <v>707</v>
      </c>
      <c r="B57" s="42" t="s">
        <v>117</v>
      </c>
      <c r="C57" s="18" t="s">
        <v>108</v>
      </c>
      <c r="D57" s="18" t="s">
        <v>703</v>
      </c>
      <c r="E57" s="18" t="s">
        <v>435</v>
      </c>
      <c r="F57" s="18" t="s">
        <v>222</v>
      </c>
      <c r="G57" s="95">
        <f>G58+G60</f>
        <v>1182.1410000000001</v>
      </c>
      <c r="H57" s="95">
        <f>H58+H60</f>
        <v>1052.0730000000001</v>
      </c>
      <c r="I57" s="95">
        <f>I58+I60</f>
        <v>1094.155</v>
      </c>
    </row>
    <row r="58" spans="1:10" ht="96" customHeight="1" x14ac:dyDescent="0.25">
      <c r="A58" s="255" t="s">
        <v>670</v>
      </c>
      <c r="B58" s="17" t="s">
        <v>117</v>
      </c>
      <c r="C58" s="6" t="s">
        <v>108</v>
      </c>
      <c r="D58" s="6" t="s">
        <v>703</v>
      </c>
      <c r="E58" s="6" t="s">
        <v>435</v>
      </c>
      <c r="F58" s="6" t="s">
        <v>671</v>
      </c>
      <c r="G58" s="11">
        <f>G59</f>
        <v>1182.1410000000001</v>
      </c>
      <c r="H58" s="11">
        <f>H59</f>
        <v>1052.0730000000001</v>
      </c>
      <c r="I58" s="11">
        <f>I59</f>
        <v>1094.155</v>
      </c>
      <c r="J58" s="45">
        <f>G57+G52</f>
        <v>2863.1080000000002</v>
      </c>
    </row>
    <row r="59" spans="1:10" ht="33.75" customHeight="1" x14ac:dyDescent="0.25">
      <c r="A59" s="255" t="s">
        <v>672</v>
      </c>
      <c r="B59" s="17">
        <v>951</v>
      </c>
      <c r="C59" s="6" t="s">
        <v>108</v>
      </c>
      <c r="D59" s="6" t="s">
        <v>703</v>
      </c>
      <c r="E59" s="6" t="s">
        <v>435</v>
      </c>
      <c r="F59" s="6" t="s">
        <v>673</v>
      </c>
      <c r="G59" s="11">
        <f>'3'!F102</f>
        <v>1182.1410000000001</v>
      </c>
      <c r="H59" s="11">
        <f>'3'!G102</f>
        <v>1052.0730000000001</v>
      </c>
      <c r="I59" s="11">
        <f>'3'!H102</f>
        <v>1094.155</v>
      </c>
    </row>
    <row r="60" spans="1:10" ht="31.15" hidden="1" customHeight="1" x14ac:dyDescent="0.25">
      <c r="A60" s="255" t="s">
        <v>676</v>
      </c>
      <c r="B60" s="17">
        <v>951</v>
      </c>
      <c r="C60" s="6" t="s">
        <v>108</v>
      </c>
      <c r="D60" s="6" t="s">
        <v>703</v>
      </c>
      <c r="E60" s="6" t="s">
        <v>435</v>
      </c>
      <c r="F60" s="6" t="s">
        <v>677</v>
      </c>
      <c r="G60" s="11">
        <f>G61</f>
        <v>0</v>
      </c>
      <c r="H60" s="11">
        <f>H61</f>
        <v>0</v>
      </c>
      <c r="I60" s="11">
        <f>I61</f>
        <v>0</v>
      </c>
    </row>
    <row r="61" spans="1:10" ht="50.25" hidden="1" customHeight="1" x14ac:dyDescent="0.25">
      <c r="A61" s="255" t="s">
        <v>678</v>
      </c>
      <c r="B61" s="17">
        <v>951</v>
      </c>
      <c r="C61" s="6" t="s">
        <v>108</v>
      </c>
      <c r="D61" s="6" t="s">
        <v>703</v>
      </c>
      <c r="E61" s="6" t="s">
        <v>435</v>
      </c>
      <c r="F61" s="6" t="s">
        <v>679</v>
      </c>
      <c r="G61" s="11">
        <v>0</v>
      </c>
      <c r="H61" s="11">
        <v>0</v>
      </c>
      <c r="I61" s="11">
        <v>0</v>
      </c>
    </row>
    <row r="62" spans="1:10" ht="111.75" customHeight="1" x14ac:dyDescent="0.25">
      <c r="A62" s="277" t="s">
        <v>708</v>
      </c>
      <c r="B62" s="42">
        <v>951</v>
      </c>
      <c r="C62" s="18" t="s">
        <v>108</v>
      </c>
      <c r="D62" s="18" t="s">
        <v>703</v>
      </c>
      <c r="E62" s="18" t="s">
        <v>709</v>
      </c>
      <c r="F62" s="18" t="s">
        <v>222</v>
      </c>
      <c r="G62" s="15">
        <f>G63+G65</f>
        <v>1447.646</v>
      </c>
      <c r="H62" s="15">
        <f>H63+H65</f>
        <v>1641.578</v>
      </c>
      <c r="I62" s="15">
        <f>I63+I65</f>
        <v>1696.2670000000001</v>
      </c>
    </row>
    <row r="63" spans="1:10" ht="97.5" customHeight="1" x14ac:dyDescent="0.25">
      <c r="A63" s="255" t="s">
        <v>670</v>
      </c>
      <c r="B63" s="17">
        <v>951</v>
      </c>
      <c r="C63" s="6" t="s">
        <v>108</v>
      </c>
      <c r="D63" s="6" t="s">
        <v>703</v>
      </c>
      <c r="E63" s="6" t="s">
        <v>709</v>
      </c>
      <c r="F63" s="6" t="s">
        <v>671</v>
      </c>
      <c r="G63" s="13">
        <f>G64</f>
        <v>1447.646</v>
      </c>
      <c r="H63" s="13">
        <f>H64</f>
        <v>1641.578</v>
      </c>
      <c r="I63" s="13">
        <f>I64</f>
        <v>1696.2670000000001</v>
      </c>
    </row>
    <row r="64" spans="1:10" ht="30" x14ac:dyDescent="0.25">
      <c r="A64" s="255" t="s">
        <v>672</v>
      </c>
      <c r="B64" s="17">
        <v>951</v>
      </c>
      <c r="C64" s="6" t="s">
        <v>108</v>
      </c>
      <c r="D64" s="6" t="s">
        <v>703</v>
      </c>
      <c r="E64" s="6" t="s">
        <v>709</v>
      </c>
      <c r="F64" s="6" t="s">
        <v>673</v>
      </c>
      <c r="G64" s="11">
        <f>'3'!F107</f>
        <v>1447.646</v>
      </c>
      <c r="H64" s="11">
        <f>'3'!G107</f>
        <v>1641.578</v>
      </c>
      <c r="I64" s="11">
        <f>'3'!H107</f>
        <v>1696.2670000000001</v>
      </c>
    </row>
    <row r="65" spans="1:10" ht="30.75" hidden="1" customHeight="1" x14ac:dyDescent="0.25">
      <c r="A65" s="255" t="s">
        <v>676</v>
      </c>
      <c r="B65" s="17">
        <v>951</v>
      </c>
      <c r="C65" s="6" t="s">
        <v>108</v>
      </c>
      <c r="D65" s="6" t="s">
        <v>703</v>
      </c>
      <c r="E65" s="6" t="s">
        <v>709</v>
      </c>
      <c r="F65" s="6" t="s">
        <v>677</v>
      </c>
      <c r="G65" s="11">
        <f>G66</f>
        <v>0</v>
      </c>
      <c r="H65" s="11">
        <f>H66</f>
        <v>0</v>
      </c>
      <c r="I65" s="11">
        <f>I66</f>
        <v>0</v>
      </c>
      <c r="J65" s="45"/>
    </row>
    <row r="66" spans="1:10" ht="45" hidden="1" x14ac:dyDescent="0.25">
      <c r="A66" s="255" t="s">
        <v>678</v>
      </c>
      <c r="B66" s="17">
        <v>951</v>
      </c>
      <c r="C66" s="6" t="s">
        <v>108</v>
      </c>
      <c r="D66" s="6" t="s">
        <v>703</v>
      </c>
      <c r="E66" s="6" t="s">
        <v>709</v>
      </c>
      <c r="F66" s="6" t="s">
        <v>679</v>
      </c>
      <c r="G66" s="11">
        <v>0</v>
      </c>
      <c r="H66" s="11">
        <v>0</v>
      </c>
      <c r="I66" s="11">
        <v>0</v>
      </c>
    </row>
    <row r="67" spans="1:10" ht="64.150000000000006" customHeight="1" x14ac:dyDescent="0.25">
      <c r="A67" s="277" t="s">
        <v>710</v>
      </c>
      <c r="B67" s="42">
        <v>951</v>
      </c>
      <c r="C67" s="18" t="s">
        <v>108</v>
      </c>
      <c r="D67" s="18" t="s">
        <v>703</v>
      </c>
      <c r="E67" s="18" t="s">
        <v>711</v>
      </c>
      <c r="F67" s="18" t="s">
        <v>222</v>
      </c>
      <c r="G67" s="95">
        <f>G70+G68</f>
        <v>721.30500000000006</v>
      </c>
      <c r="H67" s="15">
        <f>H70+H68</f>
        <v>449.23899999999998</v>
      </c>
      <c r="I67" s="15">
        <f>I70+I68</f>
        <v>465.44900000000001</v>
      </c>
    </row>
    <row r="68" spans="1:10" ht="96" customHeight="1" x14ac:dyDescent="0.25">
      <c r="A68" s="255" t="s">
        <v>670</v>
      </c>
      <c r="B68" s="17">
        <v>951</v>
      </c>
      <c r="C68" s="6" t="s">
        <v>108</v>
      </c>
      <c r="D68" s="6" t="s">
        <v>703</v>
      </c>
      <c r="E68" s="6" t="s">
        <v>711</v>
      </c>
      <c r="F68" s="4" t="s">
        <v>671</v>
      </c>
      <c r="G68" s="95">
        <f>G69</f>
        <v>497.88511</v>
      </c>
      <c r="H68" s="95">
        <f>H69</f>
        <v>154.45699999999999</v>
      </c>
      <c r="I68" s="15">
        <f>I69</f>
        <v>154.45699999999999</v>
      </c>
      <c r="J68" s="15">
        <f>J69</f>
        <v>0</v>
      </c>
    </row>
    <row r="69" spans="1:10" ht="33" customHeight="1" x14ac:dyDescent="0.25">
      <c r="A69" s="255" t="s">
        <v>672</v>
      </c>
      <c r="B69" s="17">
        <v>951</v>
      </c>
      <c r="C69" s="6" t="s">
        <v>108</v>
      </c>
      <c r="D69" s="6" t="s">
        <v>703</v>
      </c>
      <c r="E69" s="6" t="s">
        <v>711</v>
      </c>
      <c r="F69" s="4" t="s">
        <v>673</v>
      </c>
      <c r="G69" s="95">
        <f>'3'!F111</f>
        <v>497.88511</v>
      </c>
      <c r="H69" s="95">
        <f>'3'!G111</f>
        <v>154.45699999999999</v>
      </c>
      <c r="I69" s="15">
        <f>'3'!H111</f>
        <v>154.45699999999999</v>
      </c>
    </row>
    <row r="70" spans="1:10" ht="30" x14ac:dyDescent="0.25">
      <c r="A70" s="255" t="s">
        <v>676</v>
      </c>
      <c r="B70" s="17">
        <v>951</v>
      </c>
      <c r="C70" s="6" t="s">
        <v>108</v>
      </c>
      <c r="D70" s="6" t="s">
        <v>703</v>
      </c>
      <c r="E70" s="6" t="s">
        <v>711</v>
      </c>
      <c r="F70" s="4" t="s">
        <v>677</v>
      </c>
      <c r="G70" s="11">
        <f>G71</f>
        <v>223.41989000000001</v>
      </c>
      <c r="H70" s="11">
        <f>H71</f>
        <v>294.78199999999998</v>
      </c>
      <c r="I70" s="13">
        <f>I71</f>
        <v>310.99200000000002</v>
      </c>
    </row>
    <row r="71" spans="1:10" ht="45" x14ac:dyDescent="0.25">
      <c r="A71" s="255" t="s">
        <v>678</v>
      </c>
      <c r="B71" s="17">
        <v>951</v>
      </c>
      <c r="C71" s="6" t="s">
        <v>108</v>
      </c>
      <c r="D71" s="6" t="s">
        <v>703</v>
      </c>
      <c r="E71" s="6" t="s">
        <v>711</v>
      </c>
      <c r="F71" s="4" t="s">
        <v>679</v>
      </c>
      <c r="G71" s="11">
        <f>'3'!F113</f>
        <v>223.41989000000001</v>
      </c>
      <c r="H71" s="11">
        <f>'3'!G113</f>
        <v>294.78199999999998</v>
      </c>
      <c r="I71" s="13">
        <f>'3'!H113</f>
        <v>310.99200000000002</v>
      </c>
    </row>
    <row r="72" spans="1:10" s="48" customFormat="1" ht="30" hidden="1" x14ac:dyDescent="0.25">
      <c r="A72" s="266" t="s">
        <v>434</v>
      </c>
      <c r="B72" s="19">
        <v>951</v>
      </c>
      <c r="C72" s="20" t="s">
        <v>108</v>
      </c>
      <c r="D72" s="20" t="s">
        <v>703</v>
      </c>
      <c r="E72" s="20" t="s">
        <v>436</v>
      </c>
      <c r="F72" s="78" t="s">
        <v>222</v>
      </c>
      <c r="G72" s="99">
        <f>G73</f>
        <v>0</v>
      </c>
      <c r="H72" s="99">
        <f>H73</f>
        <v>0</v>
      </c>
      <c r="I72" s="21">
        <f>I73</f>
        <v>0</v>
      </c>
    </row>
    <row r="73" spans="1:10" ht="45" hidden="1" x14ac:dyDescent="0.25">
      <c r="A73" s="255" t="s">
        <v>678</v>
      </c>
      <c r="B73" s="17">
        <v>951</v>
      </c>
      <c r="C73" s="6" t="s">
        <v>108</v>
      </c>
      <c r="D73" s="6" t="s">
        <v>703</v>
      </c>
      <c r="E73" s="6" t="s">
        <v>436</v>
      </c>
      <c r="F73" s="4" t="s">
        <v>679</v>
      </c>
      <c r="G73" s="11"/>
      <c r="H73" s="11"/>
      <c r="I73" s="13"/>
    </row>
    <row r="74" spans="1:10" ht="68.25" hidden="1" customHeight="1" x14ac:dyDescent="0.25">
      <c r="A74" s="277" t="s">
        <v>234</v>
      </c>
      <c r="B74" s="17">
        <v>951</v>
      </c>
      <c r="C74" s="6" t="s">
        <v>108</v>
      </c>
      <c r="D74" s="6" t="s">
        <v>703</v>
      </c>
      <c r="E74" s="18" t="s">
        <v>21</v>
      </c>
      <c r="F74" s="158" t="s">
        <v>222</v>
      </c>
      <c r="G74" s="95">
        <f>G75+G76</f>
        <v>0</v>
      </c>
      <c r="H74" s="95">
        <f>H75+H76</f>
        <v>0</v>
      </c>
      <c r="I74" s="15">
        <f>I75+I76</f>
        <v>0</v>
      </c>
    </row>
    <row r="75" spans="1:10" ht="83.25" hidden="1" customHeight="1" x14ac:dyDescent="0.25">
      <c r="A75" s="302" t="s">
        <v>718</v>
      </c>
      <c r="B75" s="17">
        <v>951</v>
      </c>
      <c r="C75" s="6" t="s">
        <v>108</v>
      </c>
      <c r="D75" s="6" t="s">
        <v>703</v>
      </c>
      <c r="E75" s="6" t="s">
        <v>250</v>
      </c>
      <c r="F75" s="4" t="s">
        <v>717</v>
      </c>
      <c r="G75" s="11"/>
      <c r="H75" s="11"/>
      <c r="I75" s="13"/>
    </row>
    <row r="76" spans="1:10" ht="81" hidden="1" customHeight="1" x14ac:dyDescent="0.25">
      <c r="A76" s="302" t="s">
        <v>931</v>
      </c>
      <c r="B76" s="17">
        <v>951</v>
      </c>
      <c r="C76" s="6" t="s">
        <v>108</v>
      </c>
      <c r="D76" s="6" t="s">
        <v>703</v>
      </c>
      <c r="E76" s="6" t="s">
        <v>78</v>
      </c>
      <c r="F76" s="4" t="s">
        <v>717</v>
      </c>
      <c r="G76" s="11"/>
      <c r="H76" s="11"/>
      <c r="I76" s="13"/>
    </row>
    <row r="77" spans="1:10" s="175" customFormat="1" ht="75" hidden="1" x14ac:dyDescent="0.25">
      <c r="A77" s="277" t="s">
        <v>412</v>
      </c>
      <c r="B77" s="17">
        <v>951</v>
      </c>
      <c r="C77" s="18" t="s">
        <v>108</v>
      </c>
      <c r="D77" s="18" t="s">
        <v>703</v>
      </c>
      <c r="E77" s="18" t="s">
        <v>413</v>
      </c>
      <c r="F77" s="158" t="s">
        <v>222</v>
      </c>
      <c r="G77" s="95">
        <f t="shared" ref="G77:I78" si="6">G78</f>
        <v>0</v>
      </c>
      <c r="H77" s="95">
        <f t="shared" si="6"/>
        <v>0</v>
      </c>
      <c r="I77" s="15">
        <f t="shared" si="6"/>
        <v>0</v>
      </c>
    </row>
    <row r="78" spans="1:10" ht="95.25" hidden="1" customHeight="1" x14ac:dyDescent="0.25">
      <c r="A78" s="255" t="s">
        <v>670</v>
      </c>
      <c r="B78" s="17">
        <v>951</v>
      </c>
      <c r="C78" s="6" t="s">
        <v>108</v>
      </c>
      <c r="D78" s="6" t="s">
        <v>703</v>
      </c>
      <c r="E78" s="6" t="s">
        <v>413</v>
      </c>
      <c r="F78" s="4" t="s">
        <v>671</v>
      </c>
      <c r="G78" s="11">
        <f t="shared" si="6"/>
        <v>0</v>
      </c>
      <c r="H78" s="11">
        <f t="shared" si="6"/>
        <v>0</v>
      </c>
      <c r="I78" s="13">
        <f t="shared" si="6"/>
        <v>0</v>
      </c>
    </row>
    <row r="79" spans="1:10" ht="30" hidden="1" x14ac:dyDescent="0.25">
      <c r="A79" s="255" t="s">
        <v>672</v>
      </c>
      <c r="B79" s="17">
        <v>951</v>
      </c>
      <c r="C79" s="6" t="s">
        <v>108</v>
      </c>
      <c r="D79" s="6" t="s">
        <v>703</v>
      </c>
      <c r="E79" s="6" t="s">
        <v>413</v>
      </c>
      <c r="F79" s="4" t="s">
        <v>673</v>
      </c>
      <c r="G79" s="11"/>
      <c r="H79" s="11"/>
      <c r="I79" s="13"/>
    </row>
    <row r="80" spans="1:10" ht="45" x14ac:dyDescent="0.25">
      <c r="A80" s="266" t="s">
        <v>669</v>
      </c>
      <c r="B80" s="41">
        <v>951</v>
      </c>
      <c r="C80" s="23" t="s">
        <v>108</v>
      </c>
      <c r="D80" s="23" t="s">
        <v>703</v>
      </c>
      <c r="E80" s="23" t="s">
        <v>5</v>
      </c>
      <c r="F80" s="85" t="s">
        <v>222</v>
      </c>
      <c r="G80" s="12">
        <f>G81</f>
        <v>8570.3913900000007</v>
      </c>
      <c r="H80" s="12">
        <f>H81</f>
        <v>7697.5</v>
      </c>
      <c r="I80" s="22">
        <f>I81</f>
        <v>7697.5</v>
      </c>
    </row>
    <row r="81" spans="1:9" ht="53.25" customHeight="1" x14ac:dyDescent="0.25">
      <c r="A81" s="255" t="s">
        <v>110</v>
      </c>
      <c r="B81" s="17">
        <v>951</v>
      </c>
      <c r="C81" s="6" t="s">
        <v>108</v>
      </c>
      <c r="D81" s="6" t="s">
        <v>703</v>
      </c>
      <c r="E81" s="6" t="s">
        <v>6</v>
      </c>
      <c r="F81" s="4" t="s">
        <v>222</v>
      </c>
      <c r="G81" s="11">
        <f>G82+G87+G114+G117+G120+G123+G126</f>
        <v>8570.3913900000007</v>
      </c>
      <c r="H81" s="11">
        <f>H82+H87+H114+H117+H120+H123+H126</f>
        <v>7697.5</v>
      </c>
      <c r="I81" s="13">
        <f>I82+I87+I114+I117+I120+I123+I126</f>
        <v>7697.5</v>
      </c>
    </row>
    <row r="82" spans="1:9" ht="53.25" customHeight="1" x14ac:dyDescent="0.25">
      <c r="A82" s="255" t="s">
        <v>719</v>
      </c>
      <c r="B82" s="17">
        <v>951</v>
      </c>
      <c r="C82" s="6" t="s">
        <v>108</v>
      </c>
      <c r="D82" s="6" t="s">
        <v>703</v>
      </c>
      <c r="E82" s="6" t="s">
        <v>9</v>
      </c>
      <c r="F82" s="4" t="s">
        <v>222</v>
      </c>
      <c r="G82" s="11">
        <f>G83+G85</f>
        <v>7535.2052899999999</v>
      </c>
      <c r="H82" s="11">
        <f>H83+H85</f>
        <v>7247.5</v>
      </c>
      <c r="I82" s="13">
        <f>I83+I85</f>
        <v>7247.5</v>
      </c>
    </row>
    <row r="83" spans="1:9" ht="94.5" customHeight="1" x14ac:dyDescent="0.25">
      <c r="A83" s="255" t="s">
        <v>670</v>
      </c>
      <c r="B83" s="17">
        <v>951</v>
      </c>
      <c r="C83" s="6" t="s">
        <v>108</v>
      </c>
      <c r="D83" s="6" t="s">
        <v>703</v>
      </c>
      <c r="E83" s="6" t="s">
        <v>9</v>
      </c>
      <c r="F83" s="4" t="s">
        <v>671</v>
      </c>
      <c r="G83" s="11">
        <f>G84</f>
        <v>7443.2052899999999</v>
      </c>
      <c r="H83" s="11">
        <f>H84</f>
        <v>7155.5</v>
      </c>
      <c r="I83" s="13">
        <f>I84</f>
        <v>7155.5</v>
      </c>
    </row>
    <row r="84" spans="1:9" ht="30" x14ac:dyDescent="0.25">
      <c r="A84" s="255" t="s">
        <v>672</v>
      </c>
      <c r="B84" s="17">
        <v>951</v>
      </c>
      <c r="C84" s="6" t="s">
        <v>108</v>
      </c>
      <c r="D84" s="6" t="s">
        <v>703</v>
      </c>
      <c r="E84" s="6" t="s">
        <v>9</v>
      </c>
      <c r="F84" s="4" t="s">
        <v>673</v>
      </c>
      <c r="G84" s="11">
        <f>'3'!F131</f>
        <v>7443.2052899999999</v>
      </c>
      <c r="H84" s="11">
        <f>'3'!G131</f>
        <v>7155.5</v>
      </c>
      <c r="I84" s="13">
        <f>'3'!H131</f>
        <v>7155.5</v>
      </c>
    </row>
    <row r="85" spans="1:9" ht="30" x14ac:dyDescent="0.25">
      <c r="A85" s="255" t="s">
        <v>676</v>
      </c>
      <c r="B85" s="17">
        <v>951</v>
      </c>
      <c r="C85" s="6" t="s">
        <v>108</v>
      </c>
      <c r="D85" s="6" t="s">
        <v>703</v>
      </c>
      <c r="E85" s="6" t="s">
        <v>9</v>
      </c>
      <c r="F85" s="4" t="s">
        <v>677</v>
      </c>
      <c r="G85" s="11">
        <f>G86</f>
        <v>92</v>
      </c>
      <c r="H85" s="11">
        <f>H86</f>
        <v>92</v>
      </c>
      <c r="I85" s="13">
        <f>I86</f>
        <v>92</v>
      </c>
    </row>
    <row r="86" spans="1:9" ht="45.75" customHeight="1" x14ac:dyDescent="0.25">
      <c r="A86" s="255" t="s">
        <v>678</v>
      </c>
      <c r="B86" s="17">
        <v>951</v>
      </c>
      <c r="C86" s="6" t="s">
        <v>108</v>
      </c>
      <c r="D86" s="6" t="s">
        <v>703</v>
      </c>
      <c r="E86" s="6" t="s">
        <v>9</v>
      </c>
      <c r="F86" s="4" t="s">
        <v>679</v>
      </c>
      <c r="G86" s="11">
        <f>'3'!F133</f>
        <v>92</v>
      </c>
      <c r="H86" s="11">
        <f>'3'!G133</f>
        <v>92</v>
      </c>
      <c r="I86" s="13">
        <f>'3'!H133</f>
        <v>92</v>
      </c>
    </row>
    <row r="87" spans="1:9" ht="18.75" customHeight="1" x14ac:dyDescent="0.25">
      <c r="A87" s="277" t="s">
        <v>720</v>
      </c>
      <c r="B87" s="42">
        <v>951</v>
      </c>
      <c r="C87" s="18" t="s">
        <v>108</v>
      </c>
      <c r="D87" s="18" t="s">
        <v>703</v>
      </c>
      <c r="E87" s="18" t="s">
        <v>12</v>
      </c>
      <c r="F87" s="18" t="s">
        <v>222</v>
      </c>
      <c r="G87" s="95">
        <f t="shared" ref="G87:I88" si="7">G88</f>
        <v>5.5111000000000008</v>
      </c>
      <c r="H87" s="15">
        <f t="shared" si="7"/>
        <v>0</v>
      </c>
      <c r="I87" s="15">
        <f t="shared" si="7"/>
        <v>0</v>
      </c>
    </row>
    <row r="88" spans="1:9" ht="23.25" customHeight="1" x14ac:dyDescent="0.25">
      <c r="A88" s="255" t="s">
        <v>680</v>
      </c>
      <c r="B88" s="17">
        <v>951</v>
      </c>
      <c r="C88" s="6" t="s">
        <v>108</v>
      </c>
      <c r="D88" s="6" t="s">
        <v>703</v>
      </c>
      <c r="E88" s="6" t="s">
        <v>12</v>
      </c>
      <c r="F88" s="6" t="s">
        <v>681</v>
      </c>
      <c r="G88" s="11">
        <f t="shared" si="7"/>
        <v>5.5111000000000008</v>
      </c>
      <c r="H88" s="13">
        <f t="shared" si="7"/>
        <v>0</v>
      </c>
      <c r="I88" s="13">
        <f t="shared" si="7"/>
        <v>0</v>
      </c>
    </row>
    <row r="89" spans="1:9" ht="21.75" customHeight="1" x14ac:dyDescent="0.25">
      <c r="A89" s="255" t="s">
        <v>720</v>
      </c>
      <c r="B89" s="17">
        <v>951</v>
      </c>
      <c r="C89" s="6" t="s">
        <v>108</v>
      </c>
      <c r="D89" s="6" t="s">
        <v>703</v>
      </c>
      <c r="E89" s="6" t="s">
        <v>12</v>
      </c>
      <c r="F89" s="6" t="s">
        <v>721</v>
      </c>
      <c r="G89" s="11">
        <f>'5'!D268</f>
        <v>5.5111000000000008</v>
      </c>
      <c r="H89" s="11">
        <f>'5'!E268</f>
        <v>0</v>
      </c>
      <c r="I89" s="11">
        <f>'5'!F268</f>
        <v>0</v>
      </c>
    </row>
    <row r="90" spans="1:9" ht="57.6" customHeight="1" x14ac:dyDescent="0.25">
      <c r="A90" s="277" t="s">
        <v>722</v>
      </c>
      <c r="B90" s="42">
        <v>951</v>
      </c>
      <c r="C90" s="18" t="s">
        <v>108</v>
      </c>
      <c r="D90" s="18" t="s">
        <v>703</v>
      </c>
      <c r="E90" s="18" t="s">
        <v>13</v>
      </c>
      <c r="F90" s="18" t="s">
        <v>222</v>
      </c>
      <c r="G90" s="95">
        <f t="shared" ref="G90:I91" si="8">G91</f>
        <v>860</v>
      </c>
      <c r="H90" s="95">
        <f t="shared" si="8"/>
        <v>420.96</v>
      </c>
      <c r="I90" s="95">
        <f t="shared" si="8"/>
        <v>420.96</v>
      </c>
    </row>
    <row r="91" spans="1:9" ht="30" x14ac:dyDescent="0.25">
      <c r="A91" s="255" t="s">
        <v>676</v>
      </c>
      <c r="B91" s="17">
        <v>951</v>
      </c>
      <c r="C91" s="6" t="s">
        <v>108</v>
      </c>
      <c r="D91" s="6" t="s">
        <v>703</v>
      </c>
      <c r="E91" s="6" t="s">
        <v>13</v>
      </c>
      <c r="F91" s="6" t="s">
        <v>677</v>
      </c>
      <c r="G91" s="11">
        <f t="shared" si="8"/>
        <v>860</v>
      </c>
      <c r="H91" s="11">
        <f t="shared" si="8"/>
        <v>420.96</v>
      </c>
      <c r="I91" s="11">
        <f t="shared" si="8"/>
        <v>420.96</v>
      </c>
    </row>
    <row r="92" spans="1:9" ht="52.5" customHeight="1" x14ac:dyDescent="0.25">
      <c r="A92" s="255" t="s">
        <v>678</v>
      </c>
      <c r="B92" s="17">
        <v>951</v>
      </c>
      <c r="C92" s="6" t="s">
        <v>108</v>
      </c>
      <c r="D92" s="6" t="s">
        <v>703</v>
      </c>
      <c r="E92" s="6" t="s">
        <v>13</v>
      </c>
      <c r="F92" s="6" t="s">
        <v>679</v>
      </c>
      <c r="G92" s="11">
        <f>'5'!D270</f>
        <v>860</v>
      </c>
      <c r="H92" s="11">
        <f>'5'!E270</f>
        <v>420.96</v>
      </c>
      <c r="I92" s="11">
        <f>'5'!F270</f>
        <v>420.96</v>
      </c>
    </row>
    <row r="93" spans="1:9" ht="20.25" customHeight="1" x14ac:dyDescent="0.25">
      <c r="A93" s="277" t="s">
        <v>274</v>
      </c>
      <c r="B93" s="42" t="s">
        <v>117</v>
      </c>
      <c r="C93" s="18" t="s">
        <v>108</v>
      </c>
      <c r="D93" s="18" t="s">
        <v>703</v>
      </c>
      <c r="E93" s="18" t="s">
        <v>275</v>
      </c>
      <c r="F93" s="18" t="s">
        <v>222</v>
      </c>
      <c r="G93" s="95">
        <f>G94+G96</f>
        <v>2551.7728099999999</v>
      </c>
      <c r="H93" s="95">
        <f>H94+H96</f>
        <v>2087.15</v>
      </c>
      <c r="I93" s="95">
        <f>I94+I96</f>
        <v>2087.15</v>
      </c>
    </row>
    <row r="94" spans="1:9" ht="34.15" customHeight="1" x14ac:dyDescent="0.25">
      <c r="A94" s="255" t="s">
        <v>676</v>
      </c>
      <c r="B94" s="17" t="s">
        <v>117</v>
      </c>
      <c r="C94" s="6" t="s">
        <v>108</v>
      </c>
      <c r="D94" s="6" t="s">
        <v>703</v>
      </c>
      <c r="E94" s="6" t="s">
        <v>275</v>
      </c>
      <c r="F94" s="6" t="s">
        <v>677</v>
      </c>
      <c r="G94" s="11">
        <f>G95</f>
        <v>2551.7728099999999</v>
      </c>
      <c r="H94" s="11">
        <f>H95</f>
        <v>2087.15</v>
      </c>
      <c r="I94" s="11">
        <f>I95</f>
        <v>2087.15</v>
      </c>
    </row>
    <row r="95" spans="1:9" ht="51" customHeight="1" x14ac:dyDescent="0.25">
      <c r="A95" s="255" t="s">
        <v>678</v>
      </c>
      <c r="B95" s="17" t="s">
        <v>117</v>
      </c>
      <c r="C95" s="6" t="s">
        <v>108</v>
      </c>
      <c r="D95" s="6" t="s">
        <v>703</v>
      </c>
      <c r="E95" s="6" t="s">
        <v>275</v>
      </c>
      <c r="F95" s="6" t="s">
        <v>679</v>
      </c>
      <c r="G95" s="11">
        <f>'5'!D288</f>
        <v>2551.7728099999999</v>
      </c>
      <c r="H95" s="11">
        <f>'5'!E288</f>
        <v>2087.15</v>
      </c>
      <c r="I95" s="11">
        <f>'5'!F288</f>
        <v>2087.15</v>
      </c>
    </row>
    <row r="96" spans="1:9" ht="21.75" hidden="1" customHeight="1" x14ac:dyDescent="0.25">
      <c r="A96" s="255" t="s">
        <v>680</v>
      </c>
      <c r="B96" s="17" t="s">
        <v>117</v>
      </c>
      <c r="C96" s="6" t="s">
        <v>108</v>
      </c>
      <c r="D96" s="6" t="s">
        <v>703</v>
      </c>
      <c r="E96" s="6" t="s">
        <v>275</v>
      </c>
      <c r="F96" s="6" t="s">
        <v>681</v>
      </c>
      <c r="G96" s="11">
        <f>G97</f>
        <v>0</v>
      </c>
      <c r="H96" s="11">
        <f>H97</f>
        <v>0</v>
      </c>
      <c r="I96" s="11">
        <f>I97</f>
        <v>0</v>
      </c>
    </row>
    <row r="97" spans="1:10" hidden="1" x14ac:dyDescent="0.25">
      <c r="A97" s="255" t="s">
        <v>682</v>
      </c>
      <c r="B97" s="17" t="s">
        <v>117</v>
      </c>
      <c r="C97" s="6" t="s">
        <v>108</v>
      </c>
      <c r="D97" s="6" t="s">
        <v>703</v>
      </c>
      <c r="E97" s="6" t="s">
        <v>275</v>
      </c>
      <c r="F97" s="6" t="s">
        <v>683</v>
      </c>
      <c r="G97" s="11"/>
      <c r="H97" s="11"/>
      <c r="I97" s="11"/>
    </row>
    <row r="98" spans="1:10" ht="78.75" customHeight="1" x14ac:dyDescent="0.25">
      <c r="A98" s="277" t="s">
        <v>525</v>
      </c>
      <c r="B98" s="42" t="s">
        <v>117</v>
      </c>
      <c r="C98" s="18" t="s">
        <v>108</v>
      </c>
      <c r="D98" s="18" t="s">
        <v>703</v>
      </c>
      <c r="E98" s="6" t="s">
        <v>526</v>
      </c>
      <c r="F98" s="18" t="s">
        <v>222</v>
      </c>
      <c r="G98" s="95">
        <f>G99+G101</f>
        <v>217.5</v>
      </c>
      <c r="H98" s="95">
        <f>H99+H101</f>
        <v>0</v>
      </c>
      <c r="I98" s="95">
        <f>I99+I101</f>
        <v>0</v>
      </c>
    </row>
    <row r="99" spans="1:10" ht="33.75" customHeight="1" x14ac:dyDescent="0.25">
      <c r="A99" s="255" t="s">
        <v>676</v>
      </c>
      <c r="B99" s="17" t="s">
        <v>117</v>
      </c>
      <c r="C99" s="6" t="s">
        <v>108</v>
      </c>
      <c r="D99" s="6" t="s">
        <v>703</v>
      </c>
      <c r="E99" s="6" t="s">
        <v>526</v>
      </c>
      <c r="F99" s="6" t="s">
        <v>677</v>
      </c>
      <c r="G99" s="11">
        <f>G100</f>
        <v>217.5</v>
      </c>
      <c r="H99" s="13">
        <f>H100</f>
        <v>0</v>
      </c>
      <c r="I99" s="13">
        <f>I100</f>
        <v>0</v>
      </c>
    </row>
    <row r="100" spans="1:10" ht="48" customHeight="1" x14ac:dyDescent="0.25">
      <c r="A100" s="255" t="s">
        <v>678</v>
      </c>
      <c r="B100" s="17" t="s">
        <v>117</v>
      </c>
      <c r="C100" s="6" t="s">
        <v>108</v>
      </c>
      <c r="D100" s="6" t="s">
        <v>703</v>
      </c>
      <c r="E100" s="6" t="s">
        <v>526</v>
      </c>
      <c r="F100" s="6" t="s">
        <v>679</v>
      </c>
      <c r="G100" s="11">
        <f>'5'!D297</f>
        <v>217.5</v>
      </c>
      <c r="H100" s="13">
        <v>0</v>
      </c>
      <c r="I100" s="13">
        <v>0</v>
      </c>
    </row>
    <row r="101" spans="1:10" ht="20.25" hidden="1" customHeight="1" x14ac:dyDescent="0.25">
      <c r="A101" s="255" t="s">
        <v>680</v>
      </c>
      <c r="B101" s="17" t="s">
        <v>117</v>
      </c>
      <c r="C101" s="6" t="s">
        <v>108</v>
      </c>
      <c r="D101" s="6" t="s">
        <v>703</v>
      </c>
      <c r="E101" s="6" t="s">
        <v>300</v>
      </c>
      <c r="F101" s="6" t="s">
        <v>681</v>
      </c>
      <c r="G101" s="11">
        <f>G102</f>
        <v>0</v>
      </c>
      <c r="H101" s="13">
        <f>H102</f>
        <v>0</v>
      </c>
      <c r="I101" s="13">
        <f>I102</f>
        <v>0</v>
      </c>
    </row>
    <row r="102" spans="1:10" ht="20.25" hidden="1" customHeight="1" x14ac:dyDescent="0.25">
      <c r="A102" s="255" t="s">
        <v>682</v>
      </c>
      <c r="B102" s="17" t="s">
        <v>117</v>
      </c>
      <c r="C102" s="6" t="s">
        <v>108</v>
      </c>
      <c r="D102" s="6" t="s">
        <v>703</v>
      </c>
      <c r="E102" s="6" t="s">
        <v>300</v>
      </c>
      <c r="F102" s="6" t="s">
        <v>683</v>
      </c>
      <c r="G102" s="11"/>
      <c r="H102" s="13"/>
      <c r="I102" s="13"/>
    </row>
    <row r="103" spans="1:10" ht="78.75" customHeight="1" x14ac:dyDescent="0.25">
      <c r="A103" s="266" t="s">
        <v>723</v>
      </c>
      <c r="B103" s="19" t="s">
        <v>117</v>
      </c>
      <c r="C103" s="20" t="s">
        <v>108</v>
      </c>
      <c r="D103" s="20" t="s">
        <v>703</v>
      </c>
      <c r="E103" s="20" t="s">
        <v>666</v>
      </c>
      <c r="F103" s="20" t="s">
        <v>222</v>
      </c>
      <c r="G103" s="99">
        <f>G104</f>
        <v>1947.6983500000001</v>
      </c>
      <c r="H103" s="21">
        <f t="shared" ref="H103:I104" si="9">H104</f>
        <v>1759.7543500000002</v>
      </c>
      <c r="I103" s="21">
        <f t="shared" si="9"/>
        <v>1759.75434</v>
      </c>
    </row>
    <row r="104" spans="1:10" ht="32.25" customHeight="1" x14ac:dyDescent="0.25">
      <c r="A104" s="255" t="s">
        <v>699</v>
      </c>
      <c r="B104" s="17" t="s">
        <v>117</v>
      </c>
      <c r="C104" s="6" t="s">
        <v>108</v>
      </c>
      <c r="D104" s="6" t="s">
        <v>703</v>
      </c>
      <c r="E104" s="6" t="s">
        <v>5</v>
      </c>
      <c r="F104" s="6" t="s">
        <v>222</v>
      </c>
      <c r="G104" s="11">
        <f>G105</f>
        <v>1947.6983500000001</v>
      </c>
      <c r="H104" s="13">
        <f t="shared" si="9"/>
        <v>1759.7543500000002</v>
      </c>
      <c r="I104" s="13">
        <f t="shared" si="9"/>
        <v>1759.75434</v>
      </c>
    </row>
    <row r="105" spans="1:10" ht="47.25" customHeight="1" x14ac:dyDescent="0.25">
      <c r="A105" s="255" t="s">
        <v>110</v>
      </c>
      <c r="B105" s="17" t="s">
        <v>117</v>
      </c>
      <c r="C105" s="6" t="s">
        <v>108</v>
      </c>
      <c r="D105" s="6" t="s">
        <v>703</v>
      </c>
      <c r="E105" s="6" t="s">
        <v>6</v>
      </c>
      <c r="F105" s="6" t="s">
        <v>222</v>
      </c>
      <c r="G105" s="13">
        <f>G106+G108</f>
        <v>1947.6983500000001</v>
      </c>
      <c r="H105" s="13">
        <f>H106+H108</f>
        <v>1759.7543500000002</v>
      </c>
      <c r="I105" s="13">
        <f>I106+I108</f>
        <v>1759.75434</v>
      </c>
    </row>
    <row r="106" spans="1:10" ht="93" customHeight="1" x14ac:dyDescent="0.25">
      <c r="A106" s="255" t="s">
        <v>670</v>
      </c>
      <c r="B106" s="17" t="s">
        <v>117</v>
      </c>
      <c r="C106" s="6" t="s">
        <v>108</v>
      </c>
      <c r="D106" s="6" t="s">
        <v>703</v>
      </c>
      <c r="E106" s="3" t="s">
        <v>1047</v>
      </c>
      <c r="F106" s="4" t="s">
        <v>671</v>
      </c>
      <c r="G106" s="11">
        <f>G107</f>
        <v>1313.9582600000001</v>
      </c>
      <c r="H106" s="13">
        <f>H107</f>
        <v>976.86347000000001</v>
      </c>
      <c r="I106" s="13">
        <f>I107</f>
        <v>976.86347000000001</v>
      </c>
    </row>
    <row r="107" spans="1:10" ht="31.9" customHeight="1" x14ac:dyDescent="0.25">
      <c r="A107" s="255" t="s">
        <v>672</v>
      </c>
      <c r="B107" s="17" t="s">
        <v>117</v>
      </c>
      <c r="C107" s="6" t="s">
        <v>108</v>
      </c>
      <c r="D107" s="6" t="s">
        <v>703</v>
      </c>
      <c r="E107" s="3" t="s">
        <v>1047</v>
      </c>
      <c r="F107" s="4" t="s">
        <v>673</v>
      </c>
      <c r="G107" s="11">
        <f>'3'!F156</f>
        <v>1313.9582600000001</v>
      </c>
      <c r="H107" s="13">
        <f>'3'!G156</f>
        <v>976.86347000000001</v>
      </c>
      <c r="I107" s="13">
        <f>'3'!H156</f>
        <v>976.86347000000001</v>
      </c>
      <c r="J107" s="183"/>
    </row>
    <row r="108" spans="1:10" ht="30" x14ac:dyDescent="0.25">
      <c r="A108" s="255" t="s">
        <v>676</v>
      </c>
      <c r="B108" s="17" t="s">
        <v>117</v>
      </c>
      <c r="C108" s="6" t="s">
        <v>108</v>
      </c>
      <c r="D108" s="6" t="s">
        <v>703</v>
      </c>
      <c r="E108" s="3" t="s">
        <v>1047</v>
      </c>
      <c r="F108" s="4" t="s">
        <v>677</v>
      </c>
      <c r="G108" s="11">
        <f>G109</f>
        <v>633.74009000000001</v>
      </c>
      <c r="H108" s="13">
        <f>H109</f>
        <v>782.89088000000004</v>
      </c>
      <c r="I108" s="13">
        <f>I109</f>
        <v>782.89086999999995</v>
      </c>
    </row>
    <row r="109" spans="1:10" ht="46.5" customHeight="1" x14ac:dyDescent="0.25">
      <c r="A109" s="255" t="s">
        <v>678</v>
      </c>
      <c r="B109" s="17" t="s">
        <v>117</v>
      </c>
      <c r="C109" s="6" t="s">
        <v>108</v>
      </c>
      <c r="D109" s="6" t="s">
        <v>703</v>
      </c>
      <c r="E109" s="3" t="s">
        <v>1047</v>
      </c>
      <c r="F109" s="4" t="s">
        <v>679</v>
      </c>
      <c r="G109" s="11">
        <f>'3'!F158</f>
        <v>633.74009000000001</v>
      </c>
      <c r="H109" s="11">
        <f>'3'!G158</f>
        <v>782.89088000000004</v>
      </c>
      <c r="I109" s="11">
        <f>'3'!H158</f>
        <v>782.89086999999995</v>
      </c>
    </row>
    <row r="110" spans="1:10" ht="33.6" hidden="1" customHeight="1" x14ac:dyDescent="0.25">
      <c r="A110" s="255" t="s">
        <v>699</v>
      </c>
      <c r="B110" s="17" t="s">
        <v>117</v>
      </c>
      <c r="C110" s="6" t="s">
        <v>108</v>
      </c>
      <c r="D110" s="6" t="s">
        <v>703</v>
      </c>
      <c r="E110" s="6" t="s">
        <v>5</v>
      </c>
      <c r="F110" s="13" t="str">
        <f>F111</f>
        <v>000</v>
      </c>
      <c r="G110" s="13">
        <f>G111</f>
        <v>0</v>
      </c>
      <c r="H110" s="13">
        <f t="shared" ref="H110:I112" si="10">H111</f>
        <v>0</v>
      </c>
      <c r="I110" s="13">
        <f t="shared" si="10"/>
        <v>0</v>
      </c>
    </row>
    <row r="111" spans="1:10" ht="52.5" hidden="1" customHeight="1" x14ac:dyDescent="0.25">
      <c r="A111" s="255" t="s">
        <v>110</v>
      </c>
      <c r="B111" s="17" t="s">
        <v>117</v>
      </c>
      <c r="C111" s="6" t="s">
        <v>108</v>
      </c>
      <c r="D111" s="6" t="s">
        <v>703</v>
      </c>
      <c r="E111" s="6" t="s">
        <v>6</v>
      </c>
      <c r="F111" s="6" t="s">
        <v>222</v>
      </c>
      <c r="G111" s="13">
        <f>G112</f>
        <v>0</v>
      </c>
      <c r="H111" s="13">
        <f t="shared" si="10"/>
        <v>0</v>
      </c>
      <c r="I111" s="13">
        <f t="shared" si="10"/>
        <v>0</v>
      </c>
    </row>
    <row r="112" spans="1:10" ht="97.5" hidden="1" customHeight="1" x14ac:dyDescent="0.25">
      <c r="A112" s="255" t="s">
        <v>670</v>
      </c>
      <c r="B112" s="17" t="s">
        <v>117</v>
      </c>
      <c r="C112" s="6" t="s">
        <v>108</v>
      </c>
      <c r="D112" s="6" t="s">
        <v>703</v>
      </c>
      <c r="E112" s="6" t="s">
        <v>503</v>
      </c>
      <c r="F112" s="6" t="s">
        <v>671</v>
      </c>
      <c r="G112" s="13">
        <f>G113</f>
        <v>0</v>
      </c>
      <c r="H112" s="13">
        <f t="shared" si="10"/>
        <v>0</v>
      </c>
      <c r="I112" s="13">
        <f t="shared" si="10"/>
        <v>0</v>
      </c>
    </row>
    <row r="113" spans="1:10" ht="31.15" hidden="1" customHeight="1" x14ac:dyDescent="0.25">
      <c r="A113" s="255" t="s">
        <v>672</v>
      </c>
      <c r="B113" s="17" t="s">
        <v>117</v>
      </c>
      <c r="C113" s="6" t="s">
        <v>108</v>
      </c>
      <c r="D113" s="6" t="s">
        <v>703</v>
      </c>
      <c r="E113" s="6" t="s">
        <v>503</v>
      </c>
      <c r="F113" s="6" t="s">
        <v>673</v>
      </c>
      <c r="G113" s="13"/>
      <c r="H113" s="13"/>
      <c r="I113" s="13"/>
    </row>
    <row r="114" spans="1:10" ht="51.75" hidden="1" customHeight="1" x14ac:dyDescent="0.25">
      <c r="A114" s="277" t="s">
        <v>401</v>
      </c>
      <c r="B114" s="42" t="s">
        <v>117</v>
      </c>
      <c r="C114" s="18" t="s">
        <v>108</v>
      </c>
      <c r="D114" s="18" t="s">
        <v>703</v>
      </c>
      <c r="E114" s="18" t="s">
        <v>402</v>
      </c>
      <c r="F114" s="18" t="s">
        <v>222</v>
      </c>
      <c r="G114" s="15">
        <f t="shared" ref="G114:I115" si="11">G115</f>
        <v>0</v>
      </c>
      <c r="H114" s="15">
        <f t="shared" si="11"/>
        <v>0</v>
      </c>
      <c r="I114" s="15">
        <f t="shared" si="11"/>
        <v>0</v>
      </c>
    </row>
    <row r="115" spans="1:10" ht="36" hidden="1" customHeight="1" x14ac:dyDescent="0.25">
      <c r="A115" s="255" t="s">
        <v>676</v>
      </c>
      <c r="B115" s="17" t="s">
        <v>117</v>
      </c>
      <c r="C115" s="6" t="s">
        <v>108</v>
      </c>
      <c r="D115" s="6" t="s">
        <v>703</v>
      </c>
      <c r="E115" s="6" t="s">
        <v>402</v>
      </c>
      <c r="F115" s="6" t="s">
        <v>677</v>
      </c>
      <c r="G115" s="13">
        <f t="shared" si="11"/>
        <v>0</v>
      </c>
      <c r="H115" s="13">
        <f t="shared" si="11"/>
        <v>0</v>
      </c>
      <c r="I115" s="13">
        <f t="shared" si="11"/>
        <v>0</v>
      </c>
    </row>
    <row r="116" spans="1:10" ht="51" hidden="1" customHeight="1" x14ac:dyDescent="0.25">
      <c r="A116" s="255" t="s">
        <v>678</v>
      </c>
      <c r="B116" s="17" t="s">
        <v>117</v>
      </c>
      <c r="C116" s="6" t="s">
        <v>108</v>
      </c>
      <c r="D116" s="6" t="s">
        <v>703</v>
      </c>
      <c r="E116" s="6" t="s">
        <v>402</v>
      </c>
      <c r="F116" s="6" t="s">
        <v>679</v>
      </c>
      <c r="G116" s="13"/>
      <c r="H116" s="13"/>
      <c r="I116" s="13"/>
    </row>
    <row r="117" spans="1:10" ht="30" x14ac:dyDescent="0.25">
      <c r="A117" s="266" t="s">
        <v>474</v>
      </c>
      <c r="B117" s="19" t="s">
        <v>117</v>
      </c>
      <c r="C117" s="20" t="s">
        <v>108</v>
      </c>
      <c r="D117" s="20" t="s">
        <v>703</v>
      </c>
      <c r="E117" s="20" t="s">
        <v>475</v>
      </c>
      <c r="F117" s="20" t="s">
        <v>222</v>
      </c>
      <c r="G117" s="21">
        <f t="shared" ref="G117:I118" si="12">G118</f>
        <v>49.674999999999997</v>
      </c>
      <c r="H117" s="21">
        <f t="shared" si="12"/>
        <v>0</v>
      </c>
      <c r="I117" s="21">
        <f t="shared" si="12"/>
        <v>0</v>
      </c>
    </row>
    <row r="118" spans="1:10" ht="33.75" customHeight="1" x14ac:dyDescent="0.25">
      <c r="A118" s="255" t="s">
        <v>676</v>
      </c>
      <c r="B118" s="17" t="s">
        <v>117</v>
      </c>
      <c r="C118" s="6" t="s">
        <v>108</v>
      </c>
      <c r="D118" s="6" t="s">
        <v>703</v>
      </c>
      <c r="E118" s="6" t="s">
        <v>475</v>
      </c>
      <c r="F118" s="6" t="s">
        <v>677</v>
      </c>
      <c r="G118" s="13">
        <f t="shared" si="12"/>
        <v>49.674999999999997</v>
      </c>
      <c r="H118" s="13">
        <f t="shared" si="12"/>
        <v>0</v>
      </c>
      <c r="I118" s="13">
        <f t="shared" si="12"/>
        <v>0</v>
      </c>
    </row>
    <row r="119" spans="1:10" ht="51" customHeight="1" x14ac:dyDescent="0.25">
      <c r="A119" s="255" t="s">
        <v>678</v>
      </c>
      <c r="B119" s="17" t="s">
        <v>117</v>
      </c>
      <c r="C119" s="6" t="s">
        <v>108</v>
      </c>
      <c r="D119" s="6" t="s">
        <v>703</v>
      </c>
      <c r="E119" s="6" t="s">
        <v>475</v>
      </c>
      <c r="F119" s="6" t="s">
        <v>679</v>
      </c>
      <c r="G119" s="13">
        <f>'5'!D301</f>
        <v>49.674999999999997</v>
      </c>
      <c r="H119" s="13">
        <f>'5'!E301</f>
        <v>0</v>
      </c>
      <c r="I119" s="13">
        <f>'5'!F301</f>
        <v>0</v>
      </c>
    </row>
    <row r="120" spans="1:10" ht="81" hidden="1" customHeight="1" x14ac:dyDescent="0.25">
      <c r="A120" s="277" t="s">
        <v>525</v>
      </c>
      <c r="B120" s="17" t="s">
        <v>117</v>
      </c>
      <c r="C120" s="18" t="s">
        <v>108</v>
      </c>
      <c r="D120" s="18" t="s">
        <v>703</v>
      </c>
      <c r="E120" s="18" t="s">
        <v>526</v>
      </c>
      <c r="F120" s="18" t="s">
        <v>222</v>
      </c>
      <c r="G120" s="15">
        <f t="shared" ref="G120:I121" si="13">G121</f>
        <v>0</v>
      </c>
      <c r="H120" s="15">
        <f t="shared" si="13"/>
        <v>0</v>
      </c>
      <c r="I120" s="15">
        <f t="shared" si="13"/>
        <v>0</v>
      </c>
    </row>
    <row r="121" spans="1:10" ht="38.25" hidden="1" customHeight="1" x14ac:dyDescent="0.25">
      <c r="A121" s="255" t="s">
        <v>676</v>
      </c>
      <c r="B121" s="17" t="s">
        <v>117</v>
      </c>
      <c r="C121" s="6" t="s">
        <v>108</v>
      </c>
      <c r="D121" s="6" t="s">
        <v>703</v>
      </c>
      <c r="E121" s="6" t="s">
        <v>526</v>
      </c>
      <c r="F121" s="6" t="s">
        <v>677</v>
      </c>
      <c r="G121" s="13">
        <f t="shared" si="13"/>
        <v>0</v>
      </c>
      <c r="H121" s="13">
        <f t="shared" si="13"/>
        <v>0</v>
      </c>
      <c r="I121" s="13">
        <f t="shared" si="13"/>
        <v>0</v>
      </c>
    </row>
    <row r="122" spans="1:10" ht="48" hidden="1" customHeight="1" x14ac:dyDescent="0.25">
      <c r="A122" s="255" t="s">
        <v>678</v>
      </c>
      <c r="B122" s="17" t="s">
        <v>117</v>
      </c>
      <c r="C122" s="6" t="s">
        <v>108</v>
      </c>
      <c r="D122" s="6" t="s">
        <v>703</v>
      </c>
      <c r="E122" s="6" t="s">
        <v>526</v>
      </c>
      <c r="F122" s="6" t="s">
        <v>679</v>
      </c>
      <c r="G122" s="13"/>
      <c r="H122" s="13"/>
      <c r="I122" s="13"/>
    </row>
    <row r="123" spans="1:10" ht="64.5" customHeight="1" x14ac:dyDescent="0.25">
      <c r="A123" s="277" t="s">
        <v>527</v>
      </c>
      <c r="B123" s="17" t="s">
        <v>117</v>
      </c>
      <c r="C123" s="18" t="s">
        <v>108</v>
      </c>
      <c r="D123" s="18" t="s">
        <v>703</v>
      </c>
      <c r="E123" s="18" t="s">
        <v>528</v>
      </c>
      <c r="F123" s="18" t="s">
        <v>222</v>
      </c>
      <c r="G123" s="15">
        <f t="shared" ref="G123:I124" si="14">G124</f>
        <v>980</v>
      </c>
      <c r="H123" s="15">
        <f t="shared" si="14"/>
        <v>450</v>
      </c>
      <c r="I123" s="15">
        <f t="shared" si="14"/>
        <v>450</v>
      </c>
    </row>
    <row r="124" spans="1:10" ht="35.25" customHeight="1" x14ac:dyDescent="0.25">
      <c r="A124" s="255" t="s">
        <v>676</v>
      </c>
      <c r="B124" s="17" t="s">
        <v>117</v>
      </c>
      <c r="C124" s="6" t="s">
        <v>108</v>
      </c>
      <c r="D124" s="6" t="s">
        <v>703</v>
      </c>
      <c r="E124" s="6" t="s">
        <v>528</v>
      </c>
      <c r="F124" s="6" t="s">
        <v>677</v>
      </c>
      <c r="G124" s="13">
        <f t="shared" si="14"/>
        <v>980</v>
      </c>
      <c r="H124" s="13">
        <f t="shared" si="14"/>
        <v>450</v>
      </c>
      <c r="I124" s="13">
        <f t="shared" si="14"/>
        <v>450</v>
      </c>
    </row>
    <row r="125" spans="1:10" ht="51" customHeight="1" x14ac:dyDescent="0.25">
      <c r="A125" s="255" t="s">
        <v>678</v>
      </c>
      <c r="B125" s="17" t="s">
        <v>117</v>
      </c>
      <c r="C125" s="6" t="s">
        <v>108</v>
      </c>
      <c r="D125" s="6" t="s">
        <v>703</v>
      </c>
      <c r="E125" s="6" t="s">
        <v>528</v>
      </c>
      <c r="F125" s="6" t="s">
        <v>679</v>
      </c>
      <c r="G125" s="11">
        <f>'5'!D302</f>
        <v>980</v>
      </c>
      <c r="H125" s="11">
        <f>'5'!E302</f>
        <v>450</v>
      </c>
      <c r="I125" s="11">
        <f>'5'!F302</f>
        <v>450</v>
      </c>
      <c r="J125" s="11" t="e">
        <f>'5'!#REF!</f>
        <v>#REF!</v>
      </c>
    </row>
    <row r="126" spans="1:10" ht="63.75" hidden="1" customHeight="1" x14ac:dyDescent="0.25">
      <c r="A126" s="263" t="s">
        <v>603</v>
      </c>
      <c r="B126" s="96" t="s">
        <v>117</v>
      </c>
      <c r="C126" s="158" t="s">
        <v>108</v>
      </c>
      <c r="D126" s="158" t="s">
        <v>703</v>
      </c>
      <c r="E126" s="158" t="s">
        <v>602</v>
      </c>
      <c r="F126" s="158" t="s">
        <v>222</v>
      </c>
      <c r="G126" s="95">
        <f t="shared" ref="G126:I127" si="15">G127</f>
        <v>0</v>
      </c>
      <c r="H126" s="95">
        <f t="shared" si="15"/>
        <v>0</v>
      </c>
      <c r="I126" s="95">
        <f t="shared" si="15"/>
        <v>0</v>
      </c>
    </row>
    <row r="127" spans="1:10" ht="39.75" hidden="1" customHeight="1" x14ac:dyDescent="0.25">
      <c r="A127" s="254" t="s">
        <v>676</v>
      </c>
      <c r="B127" s="3" t="s">
        <v>117</v>
      </c>
      <c r="C127" s="4" t="s">
        <v>108</v>
      </c>
      <c r="D127" s="4" t="s">
        <v>703</v>
      </c>
      <c r="E127" s="4" t="s">
        <v>602</v>
      </c>
      <c r="F127" s="4" t="s">
        <v>677</v>
      </c>
      <c r="G127" s="11">
        <f t="shared" si="15"/>
        <v>0</v>
      </c>
      <c r="H127" s="11">
        <f t="shared" si="15"/>
        <v>0</v>
      </c>
      <c r="I127" s="11">
        <f t="shared" si="15"/>
        <v>0</v>
      </c>
    </row>
    <row r="128" spans="1:10" ht="50.25" hidden="1" customHeight="1" x14ac:dyDescent="0.25">
      <c r="A128" s="254" t="s">
        <v>678</v>
      </c>
      <c r="B128" s="3" t="s">
        <v>117</v>
      </c>
      <c r="C128" s="4" t="s">
        <v>108</v>
      </c>
      <c r="D128" s="4" t="s">
        <v>703</v>
      </c>
      <c r="E128" s="4" t="s">
        <v>602</v>
      </c>
      <c r="F128" s="4" t="s">
        <v>679</v>
      </c>
      <c r="G128" s="11">
        <v>0</v>
      </c>
      <c r="H128" s="11">
        <v>0</v>
      </c>
      <c r="I128" s="11">
        <v>0</v>
      </c>
    </row>
    <row r="129" spans="1:10" ht="48" customHeight="1" x14ac:dyDescent="0.25">
      <c r="A129" s="277" t="s">
        <v>724</v>
      </c>
      <c r="B129" s="42">
        <v>951</v>
      </c>
      <c r="C129" s="18" t="s">
        <v>108</v>
      </c>
      <c r="D129" s="18" t="s">
        <v>703</v>
      </c>
      <c r="E129" s="18" t="s">
        <v>22</v>
      </c>
      <c r="F129" s="18" t="s">
        <v>222</v>
      </c>
      <c r="G129" s="15">
        <f>G133+G141+G130+G144</f>
        <v>93</v>
      </c>
      <c r="H129" s="15">
        <f>H133+H141+H130+H144</f>
        <v>120</v>
      </c>
      <c r="I129" s="15">
        <f>I133+I141+I130+I144</f>
        <v>120</v>
      </c>
    </row>
    <row r="130" spans="1:10" ht="35.25" hidden="1" customHeight="1" x14ac:dyDescent="0.25">
      <c r="A130" s="274" t="s">
        <v>725</v>
      </c>
      <c r="B130" s="42">
        <v>951</v>
      </c>
      <c r="C130" s="18" t="s">
        <v>108</v>
      </c>
      <c r="D130" s="18" t="s">
        <v>703</v>
      </c>
      <c r="E130" s="17" t="s">
        <v>23</v>
      </c>
      <c r="F130" s="6" t="s">
        <v>222</v>
      </c>
      <c r="G130" s="13">
        <f t="shared" ref="G130:I131" si="16">G131</f>
        <v>0</v>
      </c>
      <c r="H130" s="13">
        <f t="shared" si="16"/>
        <v>0</v>
      </c>
      <c r="I130" s="13">
        <f t="shared" si="16"/>
        <v>0</v>
      </c>
    </row>
    <row r="131" spans="1:10" ht="32.25" hidden="1" customHeight="1" x14ac:dyDescent="0.25">
      <c r="A131" s="255" t="s">
        <v>676</v>
      </c>
      <c r="B131" s="42">
        <v>951</v>
      </c>
      <c r="C131" s="18" t="s">
        <v>108</v>
      </c>
      <c r="D131" s="18" t="s">
        <v>703</v>
      </c>
      <c r="E131" s="17" t="s">
        <v>23</v>
      </c>
      <c r="F131" s="6" t="s">
        <v>677</v>
      </c>
      <c r="G131" s="13">
        <f t="shared" si="16"/>
        <v>0</v>
      </c>
      <c r="H131" s="13">
        <f t="shared" si="16"/>
        <v>0</v>
      </c>
      <c r="I131" s="13">
        <f t="shared" si="16"/>
        <v>0</v>
      </c>
    </row>
    <row r="132" spans="1:10" ht="51" hidden="1" customHeight="1" x14ac:dyDescent="0.25">
      <c r="A132" s="255" t="s">
        <v>678</v>
      </c>
      <c r="B132" s="42">
        <v>951</v>
      </c>
      <c r="C132" s="18" t="s">
        <v>108</v>
      </c>
      <c r="D132" s="18" t="s">
        <v>703</v>
      </c>
      <c r="E132" s="17" t="s">
        <v>23</v>
      </c>
      <c r="F132" s="6" t="s">
        <v>679</v>
      </c>
      <c r="G132" s="13"/>
      <c r="H132" s="13"/>
      <c r="I132" s="13"/>
    </row>
    <row r="133" spans="1:10" ht="57" hidden="1" customHeight="1" x14ac:dyDescent="0.25">
      <c r="A133" s="274" t="s">
        <v>168</v>
      </c>
      <c r="B133" s="42">
        <v>951</v>
      </c>
      <c r="C133" s="18" t="s">
        <v>108</v>
      </c>
      <c r="D133" s="18" t="s">
        <v>703</v>
      </c>
      <c r="E133" s="17" t="s">
        <v>35</v>
      </c>
      <c r="F133" s="6" t="s">
        <v>222</v>
      </c>
      <c r="G133" s="13">
        <f>G134</f>
        <v>0</v>
      </c>
      <c r="H133" s="13">
        <f t="shared" ref="H133:I136" si="17">H134</f>
        <v>0</v>
      </c>
      <c r="I133" s="13">
        <f t="shared" si="17"/>
        <v>0</v>
      </c>
    </row>
    <row r="134" spans="1:10" ht="63.75" hidden="1" customHeight="1" x14ac:dyDescent="0.25">
      <c r="A134" s="277" t="s">
        <v>727</v>
      </c>
      <c r="B134" s="42">
        <v>951</v>
      </c>
      <c r="C134" s="18" t="s">
        <v>108</v>
      </c>
      <c r="D134" s="18" t="s">
        <v>703</v>
      </c>
      <c r="E134" s="18" t="s">
        <v>666</v>
      </c>
      <c r="F134" s="18" t="s">
        <v>222</v>
      </c>
      <c r="G134" s="15">
        <f>G135+G138</f>
        <v>0</v>
      </c>
      <c r="H134" s="15">
        <f>H135+H138</f>
        <v>0</v>
      </c>
      <c r="I134" s="15">
        <f>I135+I138</f>
        <v>0</v>
      </c>
    </row>
    <row r="135" spans="1:10" ht="98.25" hidden="1" customHeight="1" x14ac:dyDescent="0.25">
      <c r="A135" s="255" t="s">
        <v>932</v>
      </c>
      <c r="B135" s="17">
        <v>951</v>
      </c>
      <c r="C135" s="6" t="s">
        <v>108</v>
      </c>
      <c r="D135" s="6" t="s">
        <v>703</v>
      </c>
      <c r="E135" s="6" t="s">
        <v>377</v>
      </c>
      <c r="F135" s="6" t="s">
        <v>222</v>
      </c>
      <c r="G135" s="13">
        <f>G136</f>
        <v>0</v>
      </c>
      <c r="H135" s="13">
        <f t="shared" si="17"/>
        <v>0</v>
      </c>
      <c r="I135" s="13">
        <f t="shared" si="17"/>
        <v>0</v>
      </c>
    </row>
    <row r="136" spans="1:10" ht="51.75" hidden="1" customHeight="1" x14ac:dyDescent="0.25">
      <c r="A136" s="255" t="s">
        <v>729</v>
      </c>
      <c r="B136" s="17">
        <v>951</v>
      </c>
      <c r="C136" s="6" t="s">
        <v>108</v>
      </c>
      <c r="D136" s="6" t="s">
        <v>703</v>
      </c>
      <c r="E136" s="6" t="s">
        <v>377</v>
      </c>
      <c r="F136" s="6" t="s">
        <v>730</v>
      </c>
      <c r="G136" s="13">
        <f>G137</f>
        <v>0</v>
      </c>
      <c r="H136" s="13">
        <f t="shared" si="17"/>
        <v>0</v>
      </c>
      <c r="I136" s="13">
        <f t="shared" si="17"/>
        <v>0</v>
      </c>
    </row>
    <row r="137" spans="1:10" ht="21" hidden="1" customHeight="1" x14ac:dyDescent="0.25">
      <c r="A137" s="255" t="s">
        <v>731</v>
      </c>
      <c r="B137" s="17">
        <v>951</v>
      </c>
      <c r="C137" s="6" t="s">
        <v>108</v>
      </c>
      <c r="D137" s="6" t="s">
        <v>703</v>
      </c>
      <c r="E137" s="6" t="s">
        <v>377</v>
      </c>
      <c r="F137" s="6" t="s">
        <v>732</v>
      </c>
      <c r="G137" s="13"/>
      <c r="H137" s="13"/>
      <c r="I137" s="13"/>
    </row>
    <row r="138" spans="1:10" ht="98.25" hidden="1" customHeight="1" x14ac:dyDescent="0.25">
      <c r="A138" s="255" t="s">
        <v>933</v>
      </c>
      <c r="B138" s="17">
        <v>951</v>
      </c>
      <c r="C138" s="6" t="s">
        <v>108</v>
      </c>
      <c r="D138" s="6" t="s">
        <v>703</v>
      </c>
      <c r="E138" s="6" t="s">
        <v>578</v>
      </c>
      <c r="F138" s="6" t="s">
        <v>222</v>
      </c>
      <c r="G138" s="13">
        <f t="shared" ref="G138:I139" si="18">G139</f>
        <v>0</v>
      </c>
      <c r="H138" s="13">
        <f t="shared" si="18"/>
        <v>0</v>
      </c>
      <c r="I138" s="13">
        <f t="shared" si="18"/>
        <v>0</v>
      </c>
    </row>
    <row r="139" spans="1:10" ht="48" hidden="1" customHeight="1" x14ac:dyDescent="0.25">
      <c r="A139" s="255" t="s">
        <v>729</v>
      </c>
      <c r="B139" s="17">
        <v>951</v>
      </c>
      <c r="C139" s="6" t="s">
        <v>108</v>
      </c>
      <c r="D139" s="6" t="s">
        <v>703</v>
      </c>
      <c r="E139" s="6" t="s">
        <v>578</v>
      </c>
      <c r="F139" s="6" t="s">
        <v>730</v>
      </c>
      <c r="G139" s="13">
        <f t="shared" si="18"/>
        <v>0</v>
      </c>
      <c r="H139" s="13">
        <f t="shared" si="18"/>
        <v>0</v>
      </c>
      <c r="I139" s="13">
        <f t="shared" si="18"/>
        <v>0</v>
      </c>
    </row>
    <row r="140" spans="1:10" ht="18.75" hidden="1" customHeight="1" x14ac:dyDescent="0.25">
      <c r="A140" s="255" t="s">
        <v>731</v>
      </c>
      <c r="B140" s="17">
        <v>951</v>
      </c>
      <c r="C140" s="6" t="s">
        <v>108</v>
      </c>
      <c r="D140" s="6" t="s">
        <v>703</v>
      </c>
      <c r="E140" s="4" t="s">
        <v>578</v>
      </c>
      <c r="F140" s="4" t="s">
        <v>732</v>
      </c>
      <c r="G140" s="11"/>
      <c r="H140" s="13"/>
      <c r="I140" s="13"/>
      <c r="J140" s="7" t="s">
        <v>934</v>
      </c>
    </row>
    <row r="141" spans="1:10" ht="97.5" hidden="1" customHeight="1" x14ac:dyDescent="0.25">
      <c r="A141" s="277" t="s">
        <v>384</v>
      </c>
      <c r="B141" s="42">
        <v>951</v>
      </c>
      <c r="C141" s="18" t="s">
        <v>108</v>
      </c>
      <c r="D141" s="18" t="s">
        <v>703</v>
      </c>
      <c r="E141" s="18" t="s">
        <v>378</v>
      </c>
      <c r="F141" s="18" t="s">
        <v>222</v>
      </c>
      <c r="G141" s="15">
        <f t="shared" ref="G141:I142" si="19">G142</f>
        <v>0</v>
      </c>
      <c r="H141" s="15">
        <f t="shared" si="19"/>
        <v>0</v>
      </c>
      <c r="I141" s="15">
        <f t="shared" si="19"/>
        <v>0</v>
      </c>
    </row>
    <row r="142" spans="1:10" ht="36" hidden="1" customHeight="1" x14ac:dyDescent="0.25">
      <c r="A142" s="255" t="s">
        <v>676</v>
      </c>
      <c r="B142" s="17">
        <v>951</v>
      </c>
      <c r="C142" s="6" t="s">
        <v>108</v>
      </c>
      <c r="D142" s="6" t="s">
        <v>703</v>
      </c>
      <c r="E142" s="6" t="s">
        <v>378</v>
      </c>
      <c r="F142" s="6" t="s">
        <v>677</v>
      </c>
      <c r="G142" s="13">
        <f t="shared" si="19"/>
        <v>0</v>
      </c>
      <c r="H142" s="13">
        <f t="shared" si="19"/>
        <v>0</v>
      </c>
      <c r="I142" s="13">
        <f t="shared" si="19"/>
        <v>0</v>
      </c>
    </row>
    <row r="143" spans="1:10" ht="51" hidden="1" customHeight="1" x14ac:dyDescent="0.25">
      <c r="A143" s="255" t="s">
        <v>678</v>
      </c>
      <c r="B143" s="17">
        <v>951</v>
      </c>
      <c r="C143" s="6" t="s">
        <v>108</v>
      </c>
      <c r="D143" s="6" t="s">
        <v>703</v>
      </c>
      <c r="E143" s="6" t="s">
        <v>378</v>
      </c>
      <c r="F143" s="6" t="s">
        <v>679</v>
      </c>
      <c r="G143" s="13"/>
      <c r="H143" s="13"/>
      <c r="I143" s="13"/>
    </row>
    <row r="144" spans="1:10" ht="36.75" customHeight="1" x14ac:dyDescent="0.25">
      <c r="A144" s="274" t="s">
        <v>734</v>
      </c>
      <c r="B144" s="17">
        <v>951</v>
      </c>
      <c r="C144" s="6" t="s">
        <v>108</v>
      </c>
      <c r="D144" s="6" t="s">
        <v>703</v>
      </c>
      <c r="E144" s="6" t="s">
        <v>25</v>
      </c>
      <c r="F144" s="6" t="s">
        <v>222</v>
      </c>
      <c r="G144" s="13">
        <f t="shared" ref="G144:I145" si="20">G145</f>
        <v>93</v>
      </c>
      <c r="H144" s="13">
        <f t="shared" si="20"/>
        <v>120</v>
      </c>
      <c r="I144" s="13">
        <f t="shared" si="20"/>
        <v>120</v>
      </c>
    </row>
    <row r="145" spans="1:9" ht="36" customHeight="1" x14ac:dyDescent="0.25">
      <c r="A145" s="255" t="s">
        <v>676</v>
      </c>
      <c r="B145" s="17">
        <v>951</v>
      </c>
      <c r="C145" s="6" t="s">
        <v>108</v>
      </c>
      <c r="D145" s="6" t="s">
        <v>703</v>
      </c>
      <c r="E145" s="6" t="s">
        <v>379</v>
      </c>
      <c r="F145" s="6" t="s">
        <v>677</v>
      </c>
      <c r="G145" s="13">
        <f t="shared" si="20"/>
        <v>93</v>
      </c>
      <c r="H145" s="13">
        <f t="shared" si="20"/>
        <v>120</v>
      </c>
      <c r="I145" s="13">
        <f t="shared" si="20"/>
        <v>120</v>
      </c>
    </row>
    <row r="146" spans="1:9" ht="50.25" customHeight="1" x14ac:dyDescent="0.25">
      <c r="A146" s="255" t="s">
        <v>678</v>
      </c>
      <c r="B146" s="17">
        <v>951</v>
      </c>
      <c r="C146" s="6" t="s">
        <v>108</v>
      </c>
      <c r="D146" s="6" t="s">
        <v>703</v>
      </c>
      <c r="E146" s="6" t="s">
        <v>379</v>
      </c>
      <c r="F146" s="6" t="s">
        <v>679</v>
      </c>
      <c r="G146" s="11">
        <f>'5'!D100</f>
        <v>93</v>
      </c>
      <c r="H146" s="13">
        <f>'5'!E100</f>
        <v>120</v>
      </c>
      <c r="I146" s="13">
        <f>'5'!F100</f>
        <v>120</v>
      </c>
    </row>
    <row r="147" spans="1:9" ht="64.5" customHeight="1" x14ac:dyDescent="0.25">
      <c r="A147" s="277" t="s">
        <v>596</v>
      </c>
      <c r="B147" s="42">
        <v>951</v>
      </c>
      <c r="C147" s="18" t="s">
        <v>108</v>
      </c>
      <c r="D147" s="18" t="s">
        <v>703</v>
      </c>
      <c r="E147" s="18" t="s">
        <v>26</v>
      </c>
      <c r="F147" s="18" t="s">
        <v>222</v>
      </c>
      <c r="G147" s="15">
        <f t="shared" ref="G147:I148" si="21">G148</f>
        <v>35</v>
      </c>
      <c r="H147" s="15">
        <f t="shared" si="21"/>
        <v>39</v>
      </c>
      <c r="I147" s="15">
        <f t="shared" si="21"/>
        <v>39</v>
      </c>
    </row>
    <row r="148" spans="1:9" ht="39.75" customHeight="1" x14ac:dyDescent="0.25">
      <c r="A148" s="255" t="s">
        <v>676</v>
      </c>
      <c r="B148" s="17">
        <v>951</v>
      </c>
      <c r="C148" s="6" t="s">
        <v>108</v>
      </c>
      <c r="D148" s="6" t="s">
        <v>703</v>
      </c>
      <c r="E148" s="6" t="s">
        <v>27</v>
      </c>
      <c r="F148" s="6" t="s">
        <v>677</v>
      </c>
      <c r="G148" s="13">
        <f t="shared" si="21"/>
        <v>35</v>
      </c>
      <c r="H148" s="13">
        <f t="shared" si="21"/>
        <v>39</v>
      </c>
      <c r="I148" s="13">
        <f t="shared" si="21"/>
        <v>39</v>
      </c>
    </row>
    <row r="149" spans="1:9" ht="48.75" customHeight="1" x14ac:dyDescent="0.25">
      <c r="A149" s="254" t="s">
        <v>678</v>
      </c>
      <c r="B149" s="3">
        <v>951</v>
      </c>
      <c r="C149" s="4" t="s">
        <v>108</v>
      </c>
      <c r="D149" s="4" t="s">
        <v>703</v>
      </c>
      <c r="E149" s="4" t="s">
        <v>27</v>
      </c>
      <c r="F149" s="4" t="s">
        <v>679</v>
      </c>
      <c r="G149" s="11">
        <f>'5'!D118</f>
        <v>35</v>
      </c>
      <c r="H149" s="11">
        <f>'5'!E118</f>
        <v>39</v>
      </c>
      <c r="I149" s="11">
        <f>'5'!F118</f>
        <v>39</v>
      </c>
    </row>
    <row r="150" spans="1:9" ht="66.75" customHeight="1" x14ac:dyDescent="0.25">
      <c r="A150" s="263" t="s">
        <v>577</v>
      </c>
      <c r="B150" s="96" t="s">
        <v>117</v>
      </c>
      <c r="C150" s="158" t="s">
        <v>108</v>
      </c>
      <c r="D150" s="158" t="s">
        <v>703</v>
      </c>
      <c r="E150" s="158" t="s">
        <v>308</v>
      </c>
      <c r="F150" s="158" t="s">
        <v>222</v>
      </c>
      <c r="G150" s="95">
        <f t="shared" ref="G150:I151" si="22">G151</f>
        <v>20</v>
      </c>
      <c r="H150" s="95">
        <f t="shared" si="22"/>
        <v>20</v>
      </c>
      <c r="I150" s="95">
        <f t="shared" si="22"/>
        <v>0</v>
      </c>
    </row>
    <row r="151" spans="1:9" ht="51.75" customHeight="1" x14ac:dyDescent="0.25">
      <c r="A151" s="254" t="s">
        <v>309</v>
      </c>
      <c r="B151" s="96" t="s">
        <v>117</v>
      </c>
      <c r="C151" s="4" t="s">
        <v>108</v>
      </c>
      <c r="D151" s="4" t="s">
        <v>703</v>
      </c>
      <c r="E151" s="4" t="s">
        <v>310</v>
      </c>
      <c r="F151" s="4" t="s">
        <v>677</v>
      </c>
      <c r="G151" s="11">
        <f t="shared" si="22"/>
        <v>20</v>
      </c>
      <c r="H151" s="11">
        <f t="shared" si="22"/>
        <v>20</v>
      </c>
      <c r="I151" s="11">
        <f t="shared" si="22"/>
        <v>0</v>
      </c>
    </row>
    <row r="152" spans="1:9" ht="35.25" customHeight="1" x14ac:dyDescent="0.25">
      <c r="A152" s="254" t="s">
        <v>738</v>
      </c>
      <c r="B152" s="96" t="s">
        <v>117</v>
      </c>
      <c r="C152" s="4" t="s">
        <v>108</v>
      </c>
      <c r="D152" s="4" t="s">
        <v>703</v>
      </c>
      <c r="E152" s="4" t="s">
        <v>311</v>
      </c>
      <c r="F152" s="4" t="s">
        <v>679</v>
      </c>
      <c r="G152" s="11">
        <f>'5'!D226</f>
        <v>20</v>
      </c>
      <c r="H152" s="11">
        <f>'5'!E226</f>
        <v>20</v>
      </c>
      <c r="I152" s="11">
        <f>'5'!F226</f>
        <v>0</v>
      </c>
    </row>
    <row r="153" spans="1:9" hidden="1" x14ac:dyDescent="0.25">
      <c r="A153" s="261" t="s">
        <v>739</v>
      </c>
      <c r="B153" s="96" t="s">
        <v>117</v>
      </c>
      <c r="C153" s="4" t="s">
        <v>108</v>
      </c>
      <c r="D153" s="4" t="s">
        <v>703</v>
      </c>
      <c r="E153" s="85" t="s">
        <v>666</v>
      </c>
      <c r="F153" s="85" t="s">
        <v>222</v>
      </c>
      <c r="G153" s="12">
        <f>G154</f>
        <v>0</v>
      </c>
      <c r="H153" s="12">
        <f t="shared" ref="H153:I156" si="23">H154</f>
        <v>0</v>
      </c>
      <c r="I153" s="12">
        <f t="shared" si="23"/>
        <v>0</v>
      </c>
    </row>
    <row r="154" spans="1:9" ht="78.75" hidden="1" customHeight="1" x14ac:dyDescent="0.25">
      <c r="A154" s="263" t="s">
        <v>741</v>
      </c>
      <c r="B154" s="96" t="s">
        <v>117</v>
      </c>
      <c r="C154" s="4" t="s">
        <v>108</v>
      </c>
      <c r="D154" s="4" t="s">
        <v>703</v>
      </c>
      <c r="E154" s="4" t="s">
        <v>666</v>
      </c>
      <c r="F154" s="4" t="s">
        <v>222</v>
      </c>
      <c r="G154" s="11">
        <f>G155</f>
        <v>0</v>
      </c>
      <c r="H154" s="11">
        <f t="shared" si="23"/>
        <v>0</v>
      </c>
      <c r="I154" s="11">
        <f t="shared" si="23"/>
        <v>0</v>
      </c>
    </row>
    <row r="155" spans="1:9" ht="47.25" hidden="1" customHeight="1" x14ac:dyDescent="0.25">
      <c r="A155" s="254" t="s">
        <v>742</v>
      </c>
      <c r="B155" s="96" t="s">
        <v>117</v>
      </c>
      <c r="C155" s="4" t="s">
        <v>108</v>
      </c>
      <c r="D155" s="4" t="s">
        <v>703</v>
      </c>
      <c r="E155" s="4" t="s">
        <v>283</v>
      </c>
      <c r="F155" s="4" t="s">
        <v>222</v>
      </c>
      <c r="G155" s="11">
        <f>G156</f>
        <v>0</v>
      </c>
      <c r="H155" s="11">
        <f t="shared" si="23"/>
        <v>0</v>
      </c>
      <c r="I155" s="11">
        <f t="shared" si="23"/>
        <v>0</v>
      </c>
    </row>
    <row r="156" spans="1:9" ht="20.25" hidden="1" customHeight="1" x14ac:dyDescent="0.25">
      <c r="A156" s="254" t="s">
        <v>743</v>
      </c>
      <c r="B156" s="96" t="s">
        <v>117</v>
      </c>
      <c r="C156" s="4" t="s">
        <v>108</v>
      </c>
      <c r="D156" s="4" t="s">
        <v>703</v>
      </c>
      <c r="E156" s="4" t="s">
        <v>283</v>
      </c>
      <c r="F156" s="4" t="s">
        <v>744</v>
      </c>
      <c r="G156" s="11">
        <f>G157</f>
        <v>0</v>
      </c>
      <c r="H156" s="11">
        <f t="shared" si="23"/>
        <v>0</v>
      </c>
      <c r="I156" s="11">
        <f t="shared" si="23"/>
        <v>0</v>
      </c>
    </row>
    <row r="157" spans="1:9" ht="20.25" hidden="1" customHeight="1" x14ac:dyDescent="0.25">
      <c r="A157" s="254" t="s">
        <v>704</v>
      </c>
      <c r="B157" s="96" t="s">
        <v>117</v>
      </c>
      <c r="C157" s="4" t="s">
        <v>108</v>
      </c>
      <c r="D157" s="4" t="s">
        <v>703</v>
      </c>
      <c r="E157" s="4" t="s">
        <v>283</v>
      </c>
      <c r="F157" s="4" t="s">
        <v>745</v>
      </c>
      <c r="G157" s="11"/>
      <c r="H157" s="11"/>
      <c r="I157" s="11"/>
    </row>
    <row r="158" spans="1:9" ht="48" hidden="1" customHeight="1" x14ac:dyDescent="0.25">
      <c r="A158" s="261" t="s">
        <v>746</v>
      </c>
      <c r="B158" s="86" t="s">
        <v>117</v>
      </c>
      <c r="C158" s="85" t="s">
        <v>108</v>
      </c>
      <c r="D158" s="85" t="s">
        <v>703</v>
      </c>
      <c r="E158" s="85" t="s">
        <v>666</v>
      </c>
      <c r="F158" s="85" t="s">
        <v>222</v>
      </c>
      <c r="G158" s="12">
        <f>G159</f>
        <v>0</v>
      </c>
      <c r="H158" s="12">
        <f t="shared" ref="H158:I161" si="24">H159</f>
        <v>0</v>
      </c>
      <c r="I158" s="12">
        <f t="shared" si="24"/>
        <v>0</v>
      </c>
    </row>
    <row r="159" spans="1:9" ht="63.75" hidden="1" customHeight="1" x14ac:dyDescent="0.25">
      <c r="A159" s="254" t="s">
        <v>209</v>
      </c>
      <c r="B159" s="3" t="s">
        <v>117</v>
      </c>
      <c r="C159" s="4" t="s">
        <v>108</v>
      </c>
      <c r="D159" s="4" t="s">
        <v>703</v>
      </c>
      <c r="E159" s="4" t="s">
        <v>14</v>
      </c>
      <c r="F159" s="4" t="s">
        <v>222</v>
      </c>
      <c r="G159" s="11">
        <f>G160</f>
        <v>0</v>
      </c>
      <c r="H159" s="11">
        <f t="shared" si="24"/>
        <v>0</v>
      </c>
      <c r="I159" s="11">
        <f t="shared" si="24"/>
        <v>0</v>
      </c>
    </row>
    <row r="160" spans="1:9" ht="50.25" hidden="1" customHeight="1" x14ac:dyDescent="0.25">
      <c r="A160" s="254" t="s">
        <v>748</v>
      </c>
      <c r="B160" s="3" t="s">
        <v>117</v>
      </c>
      <c r="C160" s="4" t="s">
        <v>108</v>
      </c>
      <c r="D160" s="4" t="s">
        <v>703</v>
      </c>
      <c r="E160" s="4" t="s">
        <v>14</v>
      </c>
      <c r="F160" s="4" t="s">
        <v>222</v>
      </c>
      <c r="G160" s="11">
        <f>G161</f>
        <v>0</v>
      </c>
      <c r="H160" s="11">
        <f t="shared" si="24"/>
        <v>0</v>
      </c>
      <c r="I160" s="11">
        <f t="shared" si="24"/>
        <v>0</v>
      </c>
    </row>
    <row r="161" spans="1:9" ht="39.75" hidden="1" customHeight="1" x14ac:dyDescent="0.25">
      <c r="A161" s="254" t="s">
        <v>676</v>
      </c>
      <c r="B161" s="3" t="s">
        <v>117</v>
      </c>
      <c r="C161" s="4" t="s">
        <v>108</v>
      </c>
      <c r="D161" s="4" t="s">
        <v>703</v>
      </c>
      <c r="E161" s="4" t="s">
        <v>14</v>
      </c>
      <c r="F161" s="4" t="s">
        <v>677</v>
      </c>
      <c r="G161" s="11">
        <f>G162</f>
        <v>0</v>
      </c>
      <c r="H161" s="11">
        <f t="shared" si="24"/>
        <v>0</v>
      </c>
      <c r="I161" s="11">
        <f t="shared" si="24"/>
        <v>0</v>
      </c>
    </row>
    <row r="162" spans="1:9" ht="57" hidden="1" customHeight="1" x14ac:dyDescent="0.25">
      <c r="A162" s="254" t="s">
        <v>678</v>
      </c>
      <c r="B162" s="3" t="s">
        <v>117</v>
      </c>
      <c r="C162" s="4" t="s">
        <v>108</v>
      </c>
      <c r="D162" s="4" t="s">
        <v>703</v>
      </c>
      <c r="E162" s="4" t="s">
        <v>14</v>
      </c>
      <c r="F162" s="4" t="s">
        <v>679</v>
      </c>
      <c r="G162" s="11"/>
      <c r="H162" s="11"/>
      <c r="I162" s="11"/>
    </row>
    <row r="163" spans="1:9" ht="94.5" hidden="1" customHeight="1" x14ac:dyDescent="0.25">
      <c r="A163" s="263" t="s">
        <v>935</v>
      </c>
      <c r="B163" s="96" t="s">
        <v>117</v>
      </c>
      <c r="C163" s="4" t="s">
        <v>108</v>
      </c>
      <c r="D163" s="4" t="s">
        <v>703</v>
      </c>
      <c r="E163" s="158" t="s">
        <v>750</v>
      </c>
      <c r="F163" s="4" t="s">
        <v>222</v>
      </c>
      <c r="G163" s="95">
        <f t="shared" ref="G163:I164" si="25">G164</f>
        <v>0</v>
      </c>
      <c r="H163" s="95">
        <f t="shared" si="25"/>
        <v>0</v>
      </c>
      <c r="I163" s="95">
        <f t="shared" si="25"/>
        <v>0</v>
      </c>
    </row>
    <row r="164" spans="1:9" ht="96.75" hidden="1" customHeight="1" x14ac:dyDescent="0.25">
      <c r="A164" s="254" t="s">
        <v>670</v>
      </c>
      <c r="B164" s="3" t="s">
        <v>117</v>
      </c>
      <c r="C164" s="4" t="s">
        <v>108</v>
      </c>
      <c r="D164" s="4" t="s">
        <v>703</v>
      </c>
      <c r="E164" s="4" t="s">
        <v>750</v>
      </c>
      <c r="F164" s="4" t="s">
        <v>671</v>
      </c>
      <c r="G164" s="11">
        <f t="shared" si="25"/>
        <v>0</v>
      </c>
      <c r="H164" s="11">
        <f t="shared" si="25"/>
        <v>0</v>
      </c>
      <c r="I164" s="11">
        <f t="shared" si="25"/>
        <v>0</v>
      </c>
    </row>
    <row r="165" spans="1:9" ht="33.75" hidden="1" customHeight="1" x14ac:dyDescent="0.25">
      <c r="A165" s="254" t="s">
        <v>672</v>
      </c>
      <c r="B165" s="3" t="s">
        <v>117</v>
      </c>
      <c r="C165" s="4" t="s">
        <v>108</v>
      </c>
      <c r="D165" s="4" t="s">
        <v>703</v>
      </c>
      <c r="E165" s="4" t="s">
        <v>750</v>
      </c>
      <c r="F165" s="4" t="s">
        <v>673</v>
      </c>
      <c r="G165" s="11"/>
      <c r="H165" s="11"/>
      <c r="I165" s="11"/>
    </row>
    <row r="166" spans="1:9" ht="77.25" hidden="1" customHeight="1" x14ac:dyDescent="0.25">
      <c r="A166" s="263" t="s">
        <v>751</v>
      </c>
      <c r="B166" s="96" t="s">
        <v>117</v>
      </c>
      <c r="C166" s="4" t="s">
        <v>108</v>
      </c>
      <c r="D166" s="4" t="s">
        <v>703</v>
      </c>
      <c r="E166" s="158" t="s">
        <v>752</v>
      </c>
      <c r="F166" s="158" t="s">
        <v>222</v>
      </c>
      <c r="G166" s="95">
        <f>G167+G169</f>
        <v>0</v>
      </c>
      <c r="H166" s="95">
        <f>H167+H169</f>
        <v>0</v>
      </c>
      <c r="I166" s="95">
        <f>I167+I169</f>
        <v>0</v>
      </c>
    </row>
    <row r="167" spans="1:9" ht="94.5" hidden="1" customHeight="1" x14ac:dyDescent="0.25">
      <c r="A167" s="254" t="s">
        <v>670</v>
      </c>
      <c r="B167" s="3" t="s">
        <v>117</v>
      </c>
      <c r="C167" s="4" t="s">
        <v>108</v>
      </c>
      <c r="D167" s="4" t="s">
        <v>703</v>
      </c>
      <c r="E167" s="4" t="s">
        <v>752</v>
      </c>
      <c r="F167" s="4" t="s">
        <v>671</v>
      </c>
      <c r="G167" s="11">
        <f>G168</f>
        <v>0</v>
      </c>
      <c r="H167" s="11">
        <f>H168</f>
        <v>0</v>
      </c>
      <c r="I167" s="11">
        <f>I168</f>
        <v>0</v>
      </c>
    </row>
    <row r="168" spans="1:9" ht="33.75" hidden="1" customHeight="1" x14ac:dyDescent="0.25">
      <c r="A168" s="254" t="s">
        <v>672</v>
      </c>
      <c r="B168" s="3" t="s">
        <v>117</v>
      </c>
      <c r="C168" s="4" t="s">
        <v>108</v>
      </c>
      <c r="D168" s="4" t="s">
        <v>703</v>
      </c>
      <c r="E168" s="4" t="s">
        <v>752</v>
      </c>
      <c r="F168" s="4" t="s">
        <v>673</v>
      </c>
      <c r="G168" s="11"/>
      <c r="H168" s="11"/>
      <c r="I168" s="11"/>
    </row>
    <row r="169" spans="1:9" ht="34.5" hidden="1" customHeight="1" x14ac:dyDescent="0.25">
      <c r="A169" s="254" t="s">
        <v>676</v>
      </c>
      <c r="B169" s="3" t="s">
        <v>117</v>
      </c>
      <c r="C169" s="4" t="s">
        <v>108</v>
      </c>
      <c r="D169" s="4" t="s">
        <v>703</v>
      </c>
      <c r="E169" s="4" t="s">
        <v>752</v>
      </c>
      <c r="F169" s="4" t="s">
        <v>677</v>
      </c>
      <c r="G169" s="11">
        <f>G170</f>
        <v>0</v>
      </c>
      <c r="H169" s="11">
        <f>H170</f>
        <v>0</v>
      </c>
      <c r="I169" s="11">
        <f>I170</f>
        <v>0</v>
      </c>
    </row>
    <row r="170" spans="1:9" ht="53.25" hidden="1" customHeight="1" x14ac:dyDescent="0.25">
      <c r="A170" s="254" t="s">
        <v>678</v>
      </c>
      <c r="B170" s="3" t="s">
        <v>117</v>
      </c>
      <c r="C170" s="4" t="s">
        <v>108</v>
      </c>
      <c r="D170" s="4" t="s">
        <v>703</v>
      </c>
      <c r="E170" s="4" t="s">
        <v>752</v>
      </c>
      <c r="F170" s="4" t="s">
        <v>679</v>
      </c>
      <c r="G170" s="11"/>
      <c r="H170" s="11"/>
      <c r="I170" s="11"/>
    </row>
    <row r="171" spans="1:9" ht="108.75" hidden="1" customHeight="1" x14ac:dyDescent="0.25">
      <c r="A171" s="263" t="s">
        <v>405</v>
      </c>
      <c r="B171" s="96" t="s">
        <v>117</v>
      </c>
      <c r="C171" s="4" t="s">
        <v>108</v>
      </c>
      <c r="D171" s="4" t="s">
        <v>703</v>
      </c>
      <c r="E171" s="158" t="s">
        <v>406</v>
      </c>
      <c r="F171" s="158" t="s">
        <v>222</v>
      </c>
      <c r="G171" s="95">
        <f t="shared" ref="G171:I172" si="26">G172</f>
        <v>0</v>
      </c>
      <c r="H171" s="95">
        <f t="shared" si="26"/>
        <v>0</v>
      </c>
      <c r="I171" s="95">
        <f t="shared" si="26"/>
        <v>0</v>
      </c>
    </row>
    <row r="172" spans="1:9" ht="38.25" hidden="1" customHeight="1" x14ac:dyDescent="0.25">
      <c r="A172" s="254" t="s">
        <v>676</v>
      </c>
      <c r="B172" s="3" t="s">
        <v>117</v>
      </c>
      <c r="C172" s="4" t="s">
        <v>108</v>
      </c>
      <c r="D172" s="4" t="s">
        <v>703</v>
      </c>
      <c r="E172" s="4" t="s">
        <v>406</v>
      </c>
      <c r="F172" s="4" t="s">
        <v>677</v>
      </c>
      <c r="G172" s="11">
        <f t="shared" si="26"/>
        <v>0</v>
      </c>
      <c r="H172" s="11">
        <f t="shared" si="26"/>
        <v>0</v>
      </c>
      <c r="I172" s="11">
        <f t="shared" si="26"/>
        <v>0</v>
      </c>
    </row>
    <row r="173" spans="1:9" ht="50.25" hidden="1" customHeight="1" x14ac:dyDescent="0.25">
      <c r="A173" s="254" t="s">
        <v>678</v>
      </c>
      <c r="B173" s="3" t="s">
        <v>117</v>
      </c>
      <c r="C173" s="4" t="s">
        <v>108</v>
      </c>
      <c r="D173" s="4" t="s">
        <v>703</v>
      </c>
      <c r="E173" s="4" t="s">
        <v>406</v>
      </c>
      <c r="F173" s="4" t="s">
        <v>679</v>
      </c>
      <c r="G173" s="11"/>
      <c r="H173" s="11"/>
      <c r="I173" s="11"/>
    </row>
    <row r="174" spans="1:9" ht="71.25" customHeight="1" x14ac:dyDescent="0.25">
      <c r="A174" s="263" t="s">
        <v>591</v>
      </c>
      <c r="B174" s="96" t="s">
        <v>117</v>
      </c>
      <c r="C174" s="158" t="s">
        <v>108</v>
      </c>
      <c r="D174" s="158" t="s">
        <v>703</v>
      </c>
      <c r="E174" s="158" t="s">
        <v>753</v>
      </c>
      <c r="F174" s="158" t="s">
        <v>222</v>
      </c>
      <c r="G174" s="95">
        <f t="shared" ref="G174:I175" si="27">G175</f>
        <v>15</v>
      </c>
      <c r="H174" s="95">
        <f t="shared" si="27"/>
        <v>0</v>
      </c>
      <c r="I174" s="95">
        <f t="shared" si="27"/>
        <v>0</v>
      </c>
    </row>
    <row r="175" spans="1:9" ht="36.75" customHeight="1" x14ac:dyDescent="0.25">
      <c r="A175" s="254" t="s">
        <v>676</v>
      </c>
      <c r="B175" s="3" t="s">
        <v>117</v>
      </c>
      <c r="C175" s="4" t="s">
        <v>108</v>
      </c>
      <c r="D175" s="4" t="s">
        <v>703</v>
      </c>
      <c r="E175" s="4" t="s">
        <v>593</v>
      </c>
      <c r="F175" s="4" t="s">
        <v>677</v>
      </c>
      <c r="G175" s="11">
        <f t="shared" si="27"/>
        <v>15</v>
      </c>
      <c r="H175" s="11">
        <f t="shared" si="27"/>
        <v>0</v>
      </c>
      <c r="I175" s="11">
        <f t="shared" si="27"/>
        <v>0</v>
      </c>
    </row>
    <row r="176" spans="1:9" ht="52.5" customHeight="1" x14ac:dyDescent="0.25">
      <c r="A176" s="254" t="s">
        <v>678</v>
      </c>
      <c r="B176" s="3" t="s">
        <v>117</v>
      </c>
      <c r="C176" s="4" t="s">
        <v>108</v>
      </c>
      <c r="D176" s="4" t="s">
        <v>703</v>
      </c>
      <c r="E176" s="4" t="s">
        <v>593</v>
      </c>
      <c r="F176" s="4" t="s">
        <v>679</v>
      </c>
      <c r="G176" s="11">
        <f>'5'!D243</f>
        <v>15</v>
      </c>
      <c r="H176" s="11">
        <f>'5'!E243</f>
        <v>0</v>
      </c>
      <c r="I176" s="11">
        <f>'5'!F243</f>
        <v>0</v>
      </c>
    </row>
    <row r="177" spans="1:9" ht="45" customHeight="1" x14ac:dyDescent="0.25">
      <c r="A177" s="303" t="s">
        <v>746</v>
      </c>
      <c r="B177" s="185">
        <v>951</v>
      </c>
      <c r="C177" s="184" t="s">
        <v>111</v>
      </c>
      <c r="D177" s="184" t="s">
        <v>109</v>
      </c>
      <c r="E177" s="184" t="s">
        <v>666</v>
      </c>
      <c r="F177" s="184" t="s">
        <v>222</v>
      </c>
      <c r="G177" s="178">
        <f>G178+G182</f>
        <v>177.989</v>
      </c>
      <c r="H177" s="178">
        <f>H178+H182</f>
        <v>100</v>
      </c>
      <c r="I177" s="178">
        <f>I178+I182</f>
        <v>100</v>
      </c>
    </row>
    <row r="178" spans="1:9" ht="62.25" customHeight="1" x14ac:dyDescent="0.25">
      <c r="A178" s="255" t="s">
        <v>209</v>
      </c>
      <c r="B178" s="17">
        <v>951</v>
      </c>
      <c r="C178" s="6" t="s">
        <v>111</v>
      </c>
      <c r="D178" s="6" t="s">
        <v>747</v>
      </c>
      <c r="E178" s="6" t="s">
        <v>14</v>
      </c>
      <c r="F178" s="6" t="s">
        <v>222</v>
      </c>
      <c r="G178" s="13">
        <f t="shared" ref="G178:I180" si="28">G179</f>
        <v>100</v>
      </c>
      <c r="H178" s="13">
        <f t="shared" si="28"/>
        <v>100</v>
      </c>
      <c r="I178" s="13">
        <f t="shared" si="28"/>
        <v>100</v>
      </c>
    </row>
    <row r="179" spans="1:9" ht="51" customHeight="1" x14ac:dyDescent="0.25">
      <c r="A179" s="255" t="s">
        <v>748</v>
      </c>
      <c r="B179" s="17">
        <v>951</v>
      </c>
      <c r="C179" s="6" t="s">
        <v>111</v>
      </c>
      <c r="D179" s="6" t="s">
        <v>747</v>
      </c>
      <c r="E179" s="6" t="s">
        <v>14</v>
      </c>
      <c r="F179" s="6" t="s">
        <v>222</v>
      </c>
      <c r="G179" s="13">
        <f t="shared" si="28"/>
        <v>100</v>
      </c>
      <c r="H179" s="13">
        <f t="shared" si="28"/>
        <v>100</v>
      </c>
      <c r="I179" s="13">
        <f t="shared" si="28"/>
        <v>100</v>
      </c>
    </row>
    <row r="180" spans="1:9" ht="36.75" customHeight="1" x14ac:dyDescent="0.25">
      <c r="A180" s="254" t="s">
        <v>676</v>
      </c>
      <c r="B180" s="17">
        <v>951</v>
      </c>
      <c r="C180" s="6" t="s">
        <v>111</v>
      </c>
      <c r="D180" s="6" t="s">
        <v>747</v>
      </c>
      <c r="E180" s="6" t="s">
        <v>14</v>
      </c>
      <c r="F180" s="6" t="s">
        <v>677</v>
      </c>
      <c r="G180" s="13">
        <f t="shared" si="28"/>
        <v>100</v>
      </c>
      <c r="H180" s="13">
        <f t="shared" si="28"/>
        <v>100</v>
      </c>
      <c r="I180" s="13">
        <f t="shared" si="28"/>
        <v>100</v>
      </c>
    </row>
    <row r="181" spans="1:9" ht="52.5" customHeight="1" x14ac:dyDescent="0.25">
      <c r="A181" s="254" t="s">
        <v>678</v>
      </c>
      <c r="B181" s="17">
        <v>951</v>
      </c>
      <c r="C181" s="6" t="s">
        <v>111</v>
      </c>
      <c r="D181" s="6" t="s">
        <v>747</v>
      </c>
      <c r="E181" s="6" t="s">
        <v>14</v>
      </c>
      <c r="F181" s="6" t="s">
        <v>679</v>
      </c>
      <c r="G181" s="13">
        <v>100</v>
      </c>
      <c r="H181" s="13">
        <v>100</v>
      </c>
      <c r="I181" s="13">
        <v>100</v>
      </c>
    </row>
    <row r="182" spans="1:9" ht="120.75" customHeight="1" x14ac:dyDescent="0.25">
      <c r="A182" s="261" t="s">
        <v>616</v>
      </c>
      <c r="B182" s="86">
        <v>951</v>
      </c>
      <c r="C182" s="85" t="s">
        <v>111</v>
      </c>
      <c r="D182" s="85" t="s">
        <v>747</v>
      </c>
      <c r="E182" s="85" t="s">
        <v>612</v>
      </c>
      <c r="F182" s="85" t="s">
        <v>222</v>
      </c>
      <c r="G182" s="12">
        <f t="shared" ref="G182:I183" si="29">G183</f>
        <v>77.989000000000004</v>
      </c>
      <c r="H182" s="12">
        <f t="shared" si="29"/>
        <v>0</v>
      </c>
      <c r="I182" s="12">
        <f t="shared" si="29"/>
        <v>0</v>
      </c>
    </row>
    <row r="183" spans="1:9" ht="36.75" customHeight="1" x14ac:dyDescent="0.25">
      <c r="A183" s="254" t="s">
        <v>676</v>
      </c>
      <c r="B183" s="17">
        <v>951</v>
      </c>
      <c r="C183" s="6" t="s">
        <v>111</v>
      </c>
      <c r="D183" s="6" t="s">
        <v>747</v>
      </c>
      <c r="E183" s="6" t="s">
        <v>612</v>
      </c>
      <c r="F183" s="6" t="s">
        <v>677</v>
      </c>
      <c r="G183" s="13">
        <f t="shared" si="29"/>
        <v>77.989000000000004</v>
      </c>
      <c r="H183" s="13">
        <f t="shared" si="29"/>
        <v>0</v>
      </c>
      <c r="I183" s="13">
        <f t="shared" si="29"/>
        <v>0</v>
      </c>
    </row>
    <row r="184" spans="1:9" ht="50.25" customHeight="1" x14ac:dyDescent="0.25">
      <c r="A184" s="254" t="s">
        <v>678</v>
      </c>
      <c r="B184" s="17">
        <v>951</v>
      </c>
      <c r="C184" s="6" t="s">
        <v>111</v>
      </c>
      <c r="D184" s="6" t="s">
        <v>747</v>
      </c>
      <c r="E184" s="6" t="s">
        <v>612</v>
      </c>
      <c r="F184" s="6" t="s">
        <v>679</v>
      </c>
      <c r="G184" s="11">
        <f>'5'!D294</f>
        <v>77.989000000000004</v>
      </c>
      <c r="H184" s="13">
        <v>0</v>
      </c>
      <c r="I184" s="13">
        <v>0</v>
      </c>
    </row>
    <row r="185" spans="1:9" x14ac:dyDescent="0.25">
      <c r="A185" s="303" t="s">
        <v>754</v>
      </c>
      <c r="B185" s="185">
        <v>951</v>
      </c>
      <c r="C185" s="184" t="s">
        <v>113</v>
      </c>
      <c r="D185" s="184" t="s">
        <v>109</v>
      </c>
      <c r="E185" s="184" t="s">
        <v>666</v>
      </c>
      <c r="F185" s="184" t="s">
        <v>222</v>
      </c>
      <c r="G185" s="178">
        <f>G197+G215+G239+G186+G244+G193</f>
        <v>120432.17676999999</v>
      </c>
      <c r="H185" s="178">
        <f t="shared" ref="H185:I185" si="30">H197+H215+H239+H186+H244+H193</f>
        <v>26277.098269999999</v>
      </c>
      <c r="I185" s="178">
        <f t="shared" si="30"/>
        <v>27197.098269999999</v>
      </c>
    </row>
    <row r="186" spans="1:9" x14ac:dyDescent="0.25">
      <c r="A186" s="301" t="s">
        <v>755</v>
      </c>
      <c r="B186" s="179" t="s">
        <v>117</v>
      </c>
      <c r="C186" s="180" t="s">
        <v>113</v>
      </c>
      <c r="D186" s="180" t="s">
        <v>685</v>
      </c>
      <c r="E186" s="180" t="s">
        <v>666</v>
      </c>
      <c r="F186" s="180" t="s">
        <v>222</v>
      </c>
      <c r="G186" s="181">
        <f>G187+G190</f>
        <v>1485.3911900000001</v>
      </c>
      <c r="H186" s="181">
        <f>H187+H190</f>
        <v>1485.3911900000001</v>
      </c>
      <c r="I186" s="181">
        <f>I187+I190</f>
        <v>1485.3911900000001</v>
      </c>
    </row>
    <row r="187" spans="1:9" ht="108" customHeight="1" x14ac:dyDescent="0.25">
      <c r="A187" s="255" t="s">
        <v>756</v>
      </c>
      <c r="B187" s="17" t="s">
        <v>117</v>
      </c>
      <c r="C187" s="6" t="s">
        <v>113</v>
      </c>
      <c r="D187" s="6" t="s">
        <v>685</v>
      </c>
      <c r="E187" s="6" t="s">
        <v>29</v>
      </c>
      <c r="F187" s="6" t="s">
        <v>222</v>
      </c>
      <c r="G187" s="13">
        <f t="shared" ref="G187:I188" si="31">G188</f>
        <v>1485.3911900000001</v>
      </c>
      <c r="H187" s="13">
        <f t="shared" si="31"/>
        <v>1485.3911900000001</v>
      </c>
      <c r="I187" s="13">
        <f t="shared" si="31"/>
        <v>1485.3911900000001</v>
      </c>
    </row>
    <row r="188" spans="1:9" ht="35.25" customHeight="1" x14ac:dyDescent="0.25">
      <c r="A188" s="255" t="s">
        <v>676</v>
      </c>
      <c r="B188" s="17" t="s">
        <v>117</v>
      </c>
      <c r="C188" s="6" t="s">
        <v>113</v>
      </c>
      <c r="D188" s="6" t="s">
        <v>685</v>
      </c>
      <c r="E188" s="6" t="s">
        <v>29</v>
      </c>
      <c r="F188" s="6" t="s">
        <v>677</v>
      </c>
      <c r="G188" s="13">
        <f t="shared" si="31"/>
        <v>1485.3911900000001</v>
      </c>
      <c r="H188" s="13">
        <f t="shared" si="31"/>
        <v>1485.3911900000001</v>
      </c>
      <c r="I188" s="13">
        <f t="shared" si="31"/>
        <v>1485.3911900000001</v>
      </c>
    </row>
    <row r="189" spans="1:9" ht="50.25" customHeight="1" x14ac:dyDescent="0.25">
      <c r="A189" s="255" t="s">
        <v>678</v>
      </c>
      <c r="B189" s="17" t="s">
        <v>117</v>
      </c>
      <c r="C189" s="6" t="s">
        <v>113</v>
      </c>
      <c r="D189" s="6" t="s">
        <v>685</v>
      </c>
      <c r="E189" s="6" t="s">
        <v>29</v>
      </c>
      <c r="F189" s="6" t="s">
        <v>679</v>
      </c>
      <c r="G189" s="13">
        <f>'5'!D311</f>
        <v>1485.3911900000001</v>
      </c>
      <c r="H189" s="13">
        <f>'5'!E311</f>
        <v>1485.3911900000001</v>
      </c>
      <c r="I189" s="13">
        <f>'5'!F311</f>
        <v>1485.3911900000001</v>
      </c>
    </row>
    <row r="190" spans="1:9" ht="81.75" hidden="1" customHeight="1" x14ac:dyDescent="0.25">
      <c r="A190" s="277" t="s">
        <v>529</v>
      </c>
      <c r="B190" s="42" t="s">
        <v>117</v>
      </c>
      <c r="C190" s="18" t="s">
        <v>113</v>
      </c>
      <c r="D190" s="18" t="s">
        <v>685</v>
      </c>
      <c r="E190" s="18" t="s">
        <v>530</v>
      </c>
      <c r="F190" s="18" t="s">
        <v>222</v>
      </c>
      <c r="G190" s="15">
        <f t="shared" ref="G190:I191" si="32">G191</f>
        <v>0</v>
      </c>
      <c r="H190" s="15">
        <f t="shared" si="32"/>
        <v>0</v>
      </c>
      <c r="I190" s="15">
        <f t="shared" si="32"/>
        <v>0</v>
      </c>
    </row>
    <row r="191" spans="1:9" ht="34.9" hidden="1" customHeight="1" x14ac:dyDescent="0.25">
      <c r="A191" s="255" t="s">
        <v>676</v>
      </c>
      <c r="B191" s="17" t="s">
        <v>117</v>
      </c>
      <c r="C191" s="6" t="s">
        <v>113</v>
      </c>
      <c r="D191" s="6" t="s">
        <v>685</v>
      </c>
      <c r="E191" s="6" t="s">
        <v>530</v>
      </c>
      <c r="F191" s="6" t="s">
        <v>677</v>
      </c>
      <c r="G191" s="13">
        <f t="shared" si="32"/>
        <v>0</v>
      </c>
      <c r="H191" s="13">
        <f t="shared" si="32"/>
        <v>0</v>
      </c>
      <c r="I191" s="13">
        <f t="shared" si="32"/>
        <v>0</v>
      </c>
    </row>
    <row r="192" spans="1:9" ht="50.25" hidden="1" customHeight="1" x14ac:dyDescent="0.25">
      <c r="A192" s="255" t="s">
        <v>678</v>
      </c>
      <c r="B192" s="17" t="s">
        <v>117</v>
      </c>
      <c r="C192" s="6" t="s">
        <v>113</v>
      </c>
      <c r="D192" s="6" t="s">
        <v>685</v>
      </c>
      <c r="E192" s="6" t="s">
        <v>530</v>
      </c>
      <c r="F192" s="6" t="s">
        <v>679</v>
      </c>
      <c r="G192" s="13"/>
      <c r="H192" s="13"/>
      <c r="I192" s="13"/>
    </row>
    <row r="193" spans="1:10" ht="21.75" customHeight="1" x14ac:dyDescent="0.25">
      <c r="A193" s="304" t="s">
        <v>1101</v>
      </c>
      <c r="B193" s="190" t="s">
        <v>117</v>
      </c>
      <c r="C193" s="191" t="s">
        <v>113</v>
      </c>
      <c r="D193" s="191" t="s">
        <v>685</v>
      </c>
      <c r="E193" s="191" t="s">
        <v>1100</v>
      </c>
      <c r="F193" s="191" t="s">
        <v>222</v>
      </c>
      <c r="G193" s="192">
        <f>G194</f>
        <v>75</v>
      </c>
      <c r="H193" s="192">
        <f t="shared" ref="H193:I195" si="33">H194</f>
        <v>0</v>
      </c>
      <c r="I193" s="192">
        <f t="shared" si="33"/>
        <v>0</v>
      </c>
    </row>
    <row r="194" spans="1:10" ht="99" customHeight="1" x14ac:dyDescent="0.25">
      <c r="A194" s="263" t="s">
        <v>1122</v>
      </c>
      <c r="B194" s="3" t="s">
        <v>117</v>
      </c>
      <c r="C194" s="4" t="s">
        <v>113</v>
      </c>
      <c r="D194" s="4" t="s">
        <v>685</v>
      </c>
      <c r="E194" s="4" t="s">
        <v>1128</v>
      </c>
      <c r="F194" s="158" t="s">
        <v>222</v>
      </c>
      <c r="G194" s="11">
        <f>G195</f>
        <v>75</v>
      </c>
      <c r="H194" s="11">
        <f t="shared" si="33"/>
        <v>0</v>
      </c>
      <c r="I194" s="11">
        <f t="shared" si="33"/>
        <v>0</v>
      </c>
    </row>
    <row r="195" spans="1:10" ht="30" x14ac:dyDescent="0.25">
      <c r="A195" s="255" t="s">
        <v>676</v>
      </c>
      <c r="B195" s="3" t="s">
        <v>117</v>
      </c>
      <c r="C195" s="4" t="s">
        <v>113</v>
      </c>
      <c r="D195" s="4" t="s">
        <v>685</v>
      </c>
      <c r="E195" s="4" t="s">
        <v>1128</v>
      </c>
      <c r="F195" s="158" t="s">
        <v>677</v>
      </c>
      <c r="G195" s="11">
        <f>G196</f>
        <v>75</v>
      </c>
      <c r="H195" s="11">
        <f t="shared" si="33"/>
        <v>0</v>
      </c>
      <c r="I195" s="11">
        <f t="shared" si="33"/>
        <v>0</v>
      </c>
    </row>
    <row r="196" spans="1:10" ht="45" x14ac:dyDescent="0.25">
      <c r="A196" s="255" t="s">
        <v>678</v>
      </c>
      <c r="B196" s="3" t="s">
        <v>117</v>
      </c>
      <c r="C196" s="4" t="s">
        <v>113</v>
      </c>
      <c r="D196" s="4" t="s">
        <v>685</v>
      </c>
      <c r="E196" s="4" t="s">
        <v>1128</v>
      </c>
      <c r="F196" s="158" t="s">
        <v>679</v>
      </c>
      <c r="G196" s="11">
        <f>'3'!F249</f>
        <v>75</v>
      </c>
      <c r="H196" s="11">
        <f>'3'!G249</f>
        <v>0</v>
      </c>
      <c r="I196" s="11">
        <f>'3'!H249</f>
        <v>0</v>
      </c>
      <c r="J196" s="11">
        <f>'3'!I249</f>
        <v>0</v>
      </c>
    </row>
    <row r="197" spans="1:10" ht="18.75" customHeight="1" x14ac:dyDescent="0.25">
      <c r="A197" s="301" t="s">
        <v>757</v>
      </c>
      <c r="B197" s="179">
        <v>951</v>
      </c>
      <c r="C197" s="180" t="s">
        <v>113</v>
      </c>
      <c r="D197" s="180" t="s">
        <v>758</v>
      </c>
      <c r="E197" s="180" t="s">
        <v>666</v>
      </c>
      <c r="F197" s="180" t="s">
        <v>222</v>
      </c>
      <c r="G197" s="181">
        <f>G198+G202</f>
        <v>6046.8764900000006</v>
      </c>
      <c r="H197" s="181">
        <f t="shared" ref="H197:I197" si="34">H198+H202</f>
        <v>2003.38708</v>
      </c>
      <c r="I197" s="181">
        <f t="shared" si="34"/>
        <v>2003.38708</v>
      </c>
      <c r="J197" s="181">
        <f t="shared" ref="J197" si="35">J198+J202</f>
        <v>0</v>
      </c>
    </row>
    <row r="198" spans="1:10" ht="20.25" hidden="1" customHeight="1" x14ac:dyDescent="0.25">
      <c r="A198" s="255" t="s">
        <v>759</v>
      </c>
      <c r="B198" s="17">
        <v>951</v>
      </c>
      <c r="C198" s="6" t="s">
        <v>113</v>
      </c>
      <c r="D198" s="6" t="s">
        <v>758</v>
      </c>
      <c r="E198" s="6" t="s">
        <v>15</v>
      </c>
      <c r="F198" s="6" t="s">
        <v>222</v>
      </c>
      <c r="G198" s="13">
        <f t="shared" ref="G198:I200" si="36">G199</f>
        <v>0</v>
      </c>
      <c r="H198" s="13">
        <f t="shared" si="36"/>
        <v>0</v>
      </c>
      <c r="I198" s="13">
        <f t="shared" si="36"/>
        <v>0</v>
      </c>
    </row>
    <row r="199" spans="1:10" s="327" customFormat="1" ht="30" hidden="1" x14ac:dyDescent="0.25">
      <c r="A199" s="254" t="s">
        <v>764</v>
      </c>
      <c r="B199" s="3">
        <v>951</v>
      </c>
      <c r="C199" s="4" t="s">
        <v>113</v>
      </c>
      <c r="D199" s="4" t="s">
        <v>758</v>
      </c>
      <c r="E199" s="4" t="s">
        <v>15</v>
      </c>
      <c r="F199" s="4" t="s">
        <v>222</v>
      </c>
      <c r="G199" s="11">
        <f t="shared" si="36"/>
        <v>0</v>
      </c>
      <c r="H199" s="11">
        <f t="shared" si="36"/>
        <v>0</v>
      </c>
      <c r="I199" s="11">
        <f t="shared" si="36"/>
        <v>0</v>
      </c>
    </row>
    <row r="200" spans="1:10" s="327" customFormat="1" ht="21.75" hidden="1" customHeight="1" x14ac:dyDescent="0.25">
      <c r="A200" s="254" t="s">
        <v>680</v>
      </c>
      <c r="B200" s="3">
        <v>951</v>
      </c>
      <c r="C200" s="4" t="s">
        <v>113</v>
      </c>
      <c r="D200" s="4" t="s">
        <v>758</v>
      </c>
      <c r="E200" s="4" t="s">
        <v>15</v>
      </c>
      <c r="F200" s="4" t="s">
        <v>681</v>
      </c>
      <c r="G200" s="11">
        <f t="shared" si="36"/>
        <v>0</v>
      </c>
      <c r="H200" s="11">
        <f t="shared" si="36"/>
        <v>0</v>
      </c>
      <c r="I200" s="11">
        <f t="shared" si="36"/>
        <v>0</v>
      </c>
    </row>
    <row r="201" spans="1:10" s="327" customFormat="1" ht="50.25" hidden="1" customHeight="1" x14ac:dyDescent="0.25">
      <c r="A201" s="254" t="s">
        <v>386</v>
      </c>
      <c r="B201" s="3">
        <v>951</v>
      </c>
      <c r="C201" s="4" t="s">
        <v>113</v>
      </c>
      <c r="D201" s="4" t="s">
        <v>758</v>
      </c>
      <c r="E201" s="4" t="s">
        <v>15</v>
      </c>
      <c r="F201" s="4" t="s">
        <v>760</v>
      </c>
      <c r="G201" s="11"/>
      <c r="H201" s="11"/>
      <c r="I201" s="11"/>
    </row>
    <row r="202" spans="1:10" ht="111.75" customHeight="1" x14ac:dyDescent="0.25">
      <c r="A202" s="277" t="s">
        <v>1012</v>
      </c>
      <c r="B202" s="42" t="s">
        <v>117</v>
      </c>
      <c r="C202" s="18" t="s">
        <v>113</v>
      </c>
      <c r="D202" s="18" t="s">
        <v>758</v>
      </c>
      <c r="E202" s="18" t="s">
        <v>666</v>
      </c>
      <c r="F202" s="18" t="s">
        <v>222</v>
      </c>
      <c r="G202" s="15">
        <f>G203</f>
        <v>6046.8764900000006</v>
      </c>
      <c r="H202" s="15">
        <f t="shared" ref="H202:I202" si="37">H203</f>
        <v>2003.38708</v>
      </c>
      <c r="I202" s="15">
        <f t="shared" si="37"/>
        <v>2003.38708</v>
      </c>
    </row>
    <row r="203" spans="1:10" ht="24" customHeight="1" x14ac:dyDescent="0.25">
      <c r="A203" s="255" t="s">
        <v>759</v>
      </c>
      <c r="B203" s="17">
        <v>951</v>
      </c>
      <c r="C203" s="6" t="s">
        <v>113</v>
      </c>
      <c r="D203" s="6" t="s">
        <v>758</v>
      </c>
      <c r="E203" s="3" t="s">
        <v>1006</v>
      </c>
      <c r="F203" s="6" t="s">
        <v>222</v>
      </c>
      <c r="G203" s="13">
        <f>G204+G207+G213</f>
        <v>6046.8764900000006</v>
      </c>
      <c r="H203" s="13">
        <f t="shared" ref="H203:I203" si="38">H204+H207+H213</f>
        <v>2003.38708</v>
      </c>
      <c r="I203" s="13">
        <f t="shared" si="38"/>
        <v>2003.38708</v>
      </c>
    </row>
    <row r="204" spans="1:10" ht="78.75" customHeight="1" x14ac:dyDescent="0.25">
      <c r="A204" s="254" t="s">
        <v>643</v>
      </c>
      <c r="B204" s="3">
        <v>951</v>
      </c>
      <c r="C204" s="4" t="s">
        <v>113</v>
      </c>
      <c r="D204" s="4" t="s">
        <v>758</v>
      </c>
      <c r="E204" s="3" t="s">
        <v>1007</v>
      </c>
      <c r="F204" s="4" t="s">
        <v>222</v>
      </c>
      <c r="G204" s="11">
        <f>G205</f>
        <v>4834.7915300000004</v>
      </c>
      <c r="H204" s="11">
        <f t="shared" ref="H204:J204" si="39">H205</f>
        <v>0</v>
      </c>
      <c r="I204" s="11">
        <f t="shared" si="39"/>
        <v>0</v>
      </c>
      <c r="J204" s="203">
        <f t="shared" si="39"/>
        <v>0</v>
      </c>
    </row>
    <row r="205" spans="1:10" ht="35.25" customHeight="1" x14ac:dyDescent="0.25">
      <c r="A205" s="255" t="s">
        <v>676</v>
      </c>
      <c r="B205" s="17">
        <v>951</v>
      </c>
      <c r="C205" s="6" t="s">
        <v>113</v>
      </c>
      <c r="D205" s="6" t="s">
        <v>758</v>
      </c>
      <c r="E205" s="3" t="s">
        <v>1007</v>
      </c>
      <c r="F205" s="4" t="s">
        <v>677</v>
      </c>
      <c r="G205" s="11">
        <f t="shared" ref="G205:I205" si="40">G206</f>
        <v>4834.7915300000004</v>
      </c>
      <c r="H205" s="13">
        <f t="shared" si="40"/>
        <v>0</v>
      </c>
      <c r="I205" s="13">
        <f t="shared" si="40"/>
        <v>0</v>
      </c>
    </row>
    <row r="206" spans="1:10" ht="51" customHeight="1" x14ac:dyDescent="0.25">
      <c r="A206" s="255" t="s">
        <v>678</v>
      </c>
      <c r="B206" s="17">
        <v>951</v>
      </c>
      <c r="C206" s="6" t="s">
        <v>113</v>
      </c>
      <c r="D206" s="6" t="s">
        <v>758</v>
      </c>
      <c r="E206" s="3" t="s">
        <v>1007</v>
      </c>
      <c r="F206" s="4" t="s">
        <v>679</v>
      </c>
      <c r="G206" s="11">
        <f>'5'!D248</f>
        <v>4834.7915300000004</v>
      </c>
      <c r="H206" s="13">
        <f>'5'!E248</f>
        <v>0</v>
      </c>
      <c r="I206" s="13">
        <f>'5'!F248</f>
        <v>0</v>
      </c>
    </row>
    <row r="207" spans="1:10" ht="75" customHeight="1" x14ac:dyDescent="0.25">
      <c r="A207" s="255" t="s">
        <v>1000</v>
      </c>
      <c r="B207" s="17">
        <v>951</v>
      </c>
      <c r="C207" s="6" t="s">
        <v>113</v>
      </c>
      <c r="D207" s="6" t="s">
        <v>758</v>
      </c>
      <c r="E207" s="3" t="s">
        <v>1009</v>
      </c>
      <c r="F207" s="4" t="s">
        <v>222</v>
      </c>
      <c r="G207" s="11">
        <f t="shared" ref="G207:I208" si="41">G208</f>
        <v>1208.6978799999999</v>
      </c>
      <c r="H207" s="13">
        <f t="shared" si="41"/>
        <v>2000</v>
      </c>
      <c r="I207" s="13">
        <f t="shared" si="41"/>
        <v>2000</v>
      </c>
    </row>
    <row r="208" spans="1:10" ht="38.450000000000003" customHeight="1" x14ac:dyDescent="0.25">
      <c r="A208" s="255" t="s">
        <v>676</v>
      </c>
      <c r="B208" s="17">
        <v>951</v>
      </c>
      <c r="C208" s="6" t="s">
        <v>113</v>
      </c>
      <c r="D208" s="6" t="s">
        <v>758</v>
      </c>
      <c r="E208" s="3" t="s">
        <v>1009</v>
      </c>
      <c r="F208" s="4" t="s">
        <v>677</v>
      </c>
      <c r="G208" s="11">
        <f t="shared" si="41"/>
        <v>1208.6978799999999</v>
      </c>
      <c r="H208" s="13">
        <f t="shared" si="41"/>
        <v>2000</v>
      </c>
      <c r="I208" s="13">
        <f t="shared" si="41"/>
        <v>2000</v>
      </c>
    </row>
    <row r="209" spans="1:9" ht="50.25" customHeight="1" x14ac:dyDescent="0.25">
      <c r="A209" s="255" t="s">
        <v>678</v>
      </c>
      <c r="B209" s="17">
        <v>951</v>
      </c>
      <c r="C209" s="6" t="s">
        <v>113</v>
      </c>
      <c r="D209" s="6" t="s">
        <v>758</v>
      </c>
      <c r="E209" s="3" t="s">
        <v>1009</v>
      </c>
      <c r="F209" s="4" t="s">
        <v>679</v>
      </c>
      <c r="G209" s="11">
        <f>'5'!D249</f>
        <v>1208.6978799999999</v>
      </c>
      <c r="H209" s="13">
        <f>'5'!E249</f>
        <v>2000</v>
      </c>
      <c r="I209" s="13">
        <f>'5'!F249</f>
        <v>2000</v>
      </c>
    </row>
    <row r="210" spans="1:9" ht="35.25" hidden="1" customHeight="1" x14ac:dyDescent="0.25">
      <c r="A210" s="255" t="s">
        <v>676</v>
      </c>
      <c r="B210" s="17">
        <v>951</v>
      </c>
      <c r="C210" s="6" t="s">
        <v>113</v>
      </c>
      <c r="D210" s="6" t="s">
        <v>758</v>
      </c>
      <c r="E210" s="6" t="s">
        <v>258</v>
      </c>
      <c r="F210" s="6" t="s">
        <v>677</v>
      </c>
      <c r="G210" s="13">
        <f>G211</f>
        <v>0</v>
      </c>
      <c r="H210" s="13">
        <f>H211</f>
        <v>0</v>
      </c>
      <c r="I210" s="13">
        <f>I211</f>
        <v>0</v>
      </c>
    </row>
    <row r="211" spans="1:9" ht="46.5" hidden="1" customHeight="1" x14ac:dyDescent="0.25">
      <c r="A211" s="255" t="s">
        <v>678</v>
      </c>
      <c r="B211" s="17">
        <v>951</v>
      </c>
      <c r="C211" s="6" t="s">
        <v>113</v>
      </c>
      <c r="D211" s="6" t="s">
        <v>758</v>
      </c>
      <c r="E211" s="6" t="s">
        <v>258</v>
      </c>
      <c r="F211" s="6" t="s">
        <v>679</v>
      </c>
      <c r="G211" s="13"/>
      <c r="H211" s="13"/>
      <c r="I211" s="13"/>
    </row>
    <row r="212" spans="1:9" ht="159" customHeight="1" x14ac:dyDescent="0.25">
      <c r="A212" s="277" t="s">
        <v>762</v>
      </c>
      <c r="B212" s="42" t="s">
        <v>117</v>
      </c>
      <c r="C212" s="18" t="s">
        <v>113</v>
      </c>
      <c r="D212" s="18" t="s">
        <v>758</v>
      </c>
      <c r="E212" s="18" t="s">
        <v>666</v>
      </c>
      <c r="F212" s="18" t="s">
        <v>222</v>
      </c>
      <c r="G212" s="15">
        <f t="shared" ref="G212:I213" si="42">G213</f>
        <v>3.3870800000000001</v>
      </c>
      <c r="H212" s="15">
        <f t="shared" si="42"/>
        <v>3.3870800000000001</v>
      </c>
      <c r="I212" s="15">
        <f t="shared" si="42"/>
        <v>3.3870800000000001</v>
      </c>
    </row>
    <row r="213" spans="1:9" ht="35.25" customHeight="1" x14ac:dyDescent="0.25">
      <c r="A213" s="255" t="s">
        <v>676</v>
      </c>
      <c r="B213" s="17" t="s">
        <v>117</v>
      </c>
      <c r="C213" s="6" t="s">
        <v>113</v>
      </c>
      <c r="D213" s="6" t="s">
        <v>758</v>
      </c>
      <c r="E213" s="3" t="s">
        <v>1011</v>
      </c>
      <c r="F213" s="6" t="s">
        <v>677</v>
      </c>
      <c r="G213" s="13">
        <f t="shared" si="42"/>
        <v>3.3870800000000001</v>
      </c>
      <c r="H213" s="13">
        <f t="shared" si="42"/>
        <v>3.3870800000000001</v>
      </c>
      <c r="I213" s="13">
        <f t="shared" si="42"/>
        <v>3.3870800000000001</v>
      </c>
    </row>
    <row r="214" spans="1:9" ht="54" customHeight="1" x14ac:dyDescent="0.25">
      <c r="A214" s="255" t="s">
        <v>678</v>
      </c>
      <c r="B214" s="17" t="s">
        <v>117</v>
      </c>
      <c r="C214" s="6" t="s">
        <v>113</v>
      </c>
      <c r="D214" s="6" t="s">
        <v>758</v>
      </c>
      <c r="E214" s="3" t="s">
        <v>1011</v>
      </c>
      <c r="F214" s="6" t="s">
        <v>679</v>
      </c>
      <c r="G214" s="13">
        <f>'5'!D250</f>
        <v>3.3870800000000001</v>
      </c>
      <c r="H214" s="13">
        <f>'5'!E250</f>
        <v>3.3870800000000001</v>
      </c>
      <c r="I214" s="13">
        <f>'5'!F250</f>
        <v>3.3870800000000001</v>
      </c>
    </row>
    <row r="215" spans="1:9" ht="17.25" customHeight="1" x14ac:dyDescent="0.25">
      <c r="A215" s="301" t="s">
        <v>765</v>
      </c>
      <c r="B215" s="179">
        <v>951</v>
      </c>
      <c r="C215" s="180" t="s">
        <v>113</v>
      </c>
      <c r="D215" s="180" t="s">
        <v>747</v>
      </c>
      <c r="E215" s="180" t="s">
        <v>666</v>
      </c>
      <c r="F215" s="180" t="s">
        <v>222</v>
      </c>
      <c r="G215" s="181">
        <f>G216+G232</f>
        <v>46797.87919</v>
      </c>
      <c r="H215" s="181">
        <f>H216+H232</f>
        <v>22588.32</v>
      </c>
      <c r="I215" s="181">
        <f>I216+I232</f>
        <v>23508.32</v>
      </c>
    </row>
    <row r="216" spans="1:9" ht="83.25" customHeight="1" x14ac:dyDescent="0.25">
      <c r="A216" s="277" t="s">
        <v>585</v>
      </c>
      <c r="B216" s="42" t="s">
        <v>117</v>
      </c>
      <c r="C216" s="18" t="s">
        <v>113</v>
      </c>
      <c r="D216" s="18" t="s">
        <v>747</v>
      </c>
      <c r="E216" s="18" t="s">
        <v>666</v>
      </c>
      <c r="F216" s="18" t="s">
        <v>222</v>
      </c>
      <c r="G216" s="15">
        <f>G217+G223+G227</f>
        <v>46653.259189999997</v>
      </c>
      <c r="H216" s="15">
        <f t="shared" ref="H216:I216" si="43">H217+H223+H227</f>
        <v>22508</v>
      </c>
      <c r="I216" s="15">
        <f t="shared" si="43"/>
        <v>23428</v>
      </c>
    </row>
    <row r="217" spans="1:9" ht="33.6" customHeight="1" x14ac:dyDescent="0.25">
      <c r="A217" s="255" t="s">
        <v>210</v>
      </c>
      <c r="B217" s="17">
        <v>951</v>
      </c>
      <c r="C217" s="6" t="s">
        <v>113</v>
      </c>
      <c r="D217" s="6" t="s">
        <v>747</v>
      </c>
      <c r="E217" s="6" t="s">
        <v>260</v>
      </c>
      <c r="F217" s="6" t="s">
        <v>222</v>
      </c>
      <c r="G217" s="13">
        <f>G218+G220</f>
        <v>17257.253240000002</v>
      </c>
      <c r="H217" s="13">
        <f>H218+H220</f>
        <v>6720</v>
      </c>
      <c r="I217" s="13">
        <f>I218+I220</f>
        <v>6995</v>
      </c>
    </row>
    <row r="218" spans="1:9" ht="33" customHeight="1" x14ac:dyDescent="0.25">
      <c r="A218" s="255" t="s">
        <v>676</v>
      </c>
      <c r="B218" s="17">
        <v>951</v>
      </c>
      <c r="C218" s="6" t="s">
        <v>113</v>
      </c>
      <c r="D218" s="6" t="s">
        <v>747</v>
      </c>
      <c r="E218" s="6" t="s">
        <v>260</v>
      </c>
      <c r="F218" s="6" t="s">
        <v>677</v>
      </c>
      <c r="G218" s="11">
        <f>G219</f>
        <v>17257.253240000002</v>
      </c>
      <c r="H218" s="13">
        <f>H219</f>
        <v>6720</v>
      </c>
      <c r="I218" s="13">
        <f>I219</f>
        <v>6995</v>
      </c>
    </row>
    <row r="219" spans="1:9" ht="47.25" customHeight="1" x14ac:dyDescent="0.25">
      <c r="A219" s="255" t="s">
        <v>678</v>
      </c>
      <c r="B219" s="17">
        <v>951</v>
      </c>
      <c r="C219" s="6" t="s">
        <v>113</v>
      </c>
      <c r="D219" s="6" t="s">
        <v>747</v>
      </c>
      <c r="E219" s="6" t="s">
        <v>260</v>
      </c>
      <c r="F219" s="6" t="s">
        <v>679</v>
      </c>
      <c r="G219" s="11">
        <f>'5'!D204</f>
        <v>17257.253240000002</v>
      </c>
      <c r="H219" s="11">
        <f>'5'!E204</f>
        <v>6720</v>
      </c>
      <c r="I219" s="11">
        <f>'5'!F204</f>
        <v>6995</v>
      </c>
    </row>
    <row r="220" spans="1:9" ht="48" hidden="1" customHeight="1" x14ac:dyDescent="0.25">
      <c r="A220" s="255" t="s">
        <v>729</v>
      </c>
      <c r="B220" s="17">
        <v>951</v>
      </c>
      <c r="C220" s="6" t="s">
        <v>113</v>
      </c>
      <c r="D220" s="6" t="s">
        <v>747</v>
      </c>
      <c r="E220" s="6" t="s">
        <v>260</v>
      </c>
      <c r="F220" s="6" t="s">
        <v>730</v>
      </c>
      <c r="G220" s="11"/>
      <c r="H220" s="11"/>
      <c r="I220" s="11"/>
    </row>
    <row r="221" spans="1:9" ht="18.75" hidden="1" customHeight="1" x14ac:dyDescent="0.25">
      <c r="A221" s="254" t="s">
        <v>731</v>
      </c>
      <c r="B221" s="3">
        <v>951</v>
      </c>
      <c r="C221" s="4" t="s">
        <v>113</v>
      </c>
      <c r="D221" s="4" t="s">
        <v>747</v>
      </c>
      <c r="E221" s="4" t="s">
        <v>260</v>
      </c>
      <c r="F221" s="4" t="s">
        <v>732</v>
      </c>
      <c r="G221" s="11"/>
      <c r="H221" s="11"/>
      <c r="I221" s="11"/>
    </row>
    <row r="222" spans="1:9" ht="18.75" hidden="1" customHeight="1" x14ac:dyDescent="0.25">
      <c r="A222" s="255"/>
      <c r="B222" s="17"/>
      <c r="C222" s="6"/>
      <c r="D222" s="6"/>
      <c r="E222" s="6"/>
      <c r="F222" s="6"/>
      <c r="G222" s="11"/>
      <c r="H222" s="13"/>
      <c r="I222" s="13"/>
    </row>
    <row r="223" spans="1:9" ht="18.75" customHeight="1" x14ac:dyDescent="0.25">
      <c r="A223" s="255" t="s">
        <v>743</v>
      </c>
      <c r="B223" s="17">
        <v>951</v>
      </c>
      <c r="C223" s="6" t="s">
        <v>113</v>
      </c>
      <c r="D223" s="6" t="s">
        <v>747</v>
      </c>
      <c r="E223" s="6" t="s">
        <v>259</v>
      </c>
      <c r="F223" s="6" t="s">
        <v>744</v>
      </c>
      <c r="G223" s="11">
        <f>G224+G225+G226</f>
        <v>14244.4908</v>
      </c>
      <c r="H223" s="13">
        <f>H224+H225+H226</f>
        <v>15788</v>
      </c>
      <c r="I223" s="13">
        <f>I224+I225+I226</f>
        <v>16433</v>
      </c>
    </row>
    <row r="224" spans="1:9" ht="16.5" customHeight="1" x14ac:dyDescent="0.25">
      <c r="A224" s="255" t="s">
        <v>175</v>
      </c>
      <c r="B224" s="17">
        <v>951</v>
      </c>
      <c r="C224" s="6" t="s">
        <v>113</v>
      </c>
      <c r="D224" s="6" t="s">
        <v>747</v>
      </c>
      <c r="E224" s="6" t="s">
        <v>259</v>
      </c>
      <c r="F224" s="6" t="s">
        <v>761</v>
      </c>
      <c r="G224" s="11">
        <f>'5'!D205</f>
        <v>14244.4908</v>
      </c>
      <c r="H224" s="11">
        <f>'5'!E205</f>
        <v>15788</v>
      </c>
      <c r="I224" s="11">
        <f>'5'!F205</f>
        <v>16433</v>
      </c>
    </row>
    <row r="225" spans="1:9" ht="90" hidden="1" x14ac:dyDescent="0.25">
      <c r="A225" s="255" t="s">
        <v>272</v>
      </c>
      <c r="B225" s="17" t="s">
        <v>117</v>
      </c>
      <c r="C225" s="6" t="s">
        <v>113</v>
      </c>
      <c r="D225" s="6" t="s">
        <v>747</v>
      </c>
      <c r="E225" s="6" t="s">
        <v>273</v>
      </c>
      <c r="F225" s="6" t="s">
        <v>761</v>
      </c>
      <c r="G225" s="11"/>
      <c r="H225" s="13"/>
      <c r="I225" s="13"/>
    </row>
    <row r="226" spans="1:9" ht="105" hidden="1" x14ac:dyDescent="0.25">
      <c r="A226" s="255" t="s">
        <v>276</v>
      </c>
      <c r="B226" s="17">
        <v>953</v>
      </c>
      <c r="C226" s="6" t="s">
        <v>113</v>
      </c>
      <c r="D226" s="6" t="s">
        <v>747</v>
      </c>
      <c r="E226" s="6" t="s">
        <v>273</v>
      </c>
      <c r="F226" s="6" t="s">
        <v>761</v>
      </c>
      <c r="G226" s="11"/>
      <c r="H226" s="13"/>
      <c r="I226" s="13"/>
    </row>
    <row r="227" spans="1:9" ht="48.75" customHeight="1" x14ac:dyDescent="0.25">
      <c r="A227" s="277" t="s">
        <v>766</v>
      </c>
      <c r="B227" s="42">
        <v>951</v>
      </c>
      <c r="C227" s="18" t="s">
        <v>113</v>
      </c>
      <c r="D227" s="18" t="s">
        <v>747</v>
      </c>
      <c r="E227" s="18" t="s">
        <v>253</v>
      </c>
      <c r="F227" s="18" t="s">
        <v>222</v>
      </c>
      <c r="G227" s="95">
        <f>G229+G231</f>
        <v>15151.515149999999</v>
      </c>
      <c r="H227" s="15">
        <f>H229+H231</f>
        <v>0</v>
      </c>
      <c r="I227" s="15">
        <f>I229+I231</f>
        <v>0</v>
      </c>
    </row>
    <row r="228" spans="1:9" ht="35.25" customHeight="1" x14ac:dyDescent="0.25">
      <c r="A228" s="255" t="s">
        <v>676</v>
      </c>
      <c r="B228" s="17">
        <v>951</v>
      </c>
      <c r="C228" s="6" t="s">
        <v>113</v>
      </c>
      <c r="D228" s="6" t="s">
        <v>747</v>
      </c>
      <c r="E228" s="6" t="s">
        <v>387</v>
      </c>
      <c r="F228" s="6" t="s">
        <v>677</v>
      </c>
      <c r="G228" s="11">
        <f>G229</f>
        <v>15000</v>
      </c>
      <c r="H228" s="13">
        <f>H229</f>
        <v>0</v>
      </c>
      <c r="I228" s="13">
        <f>I229</f>
        <v>0</v>
      </c>
    </row>
    <row r="229" spans="1:9" ht="45" x14ac:dyDescent="0.25">
      <c r="A229" s="255" t="s">
        <v>678</v>
      </c>
      <c r="B229" s="17">
        <v>951</v>
      </c>
      <c r="C229" s="6" t="s">
        <v>113</v>
      </c>
      <c r="D229" s="6" t="s">
        <v>747</v>
      </c>
      <c r="E229" s="6" t="s">
        <v>387</v>
      </c>
      <c r="F229" s="6" t="s">
        <v>679</v>
      </c>
      <c r="G229" s="11">
        <f>'5'!D208</f>
        <v>15000</v>
      </c>
      <c r="H229" s="13">
        <f>'5'!E208</f>
        <v>0</v>
      </c>
      <c r="I229" s="13">
        <f>'5'!F208</f>
        <v>0</v>
      </c>
    </row>
    <row r="230" spans="1:9" ht="30" x14ac:dyDescent="0.25">
      <c r="A230" s="255" t="s">
        <v>676</v>
      </c>
      <c r="B230" s="17">
        <v>951</v>
      </c>
      <c r="C230" s="6" t="s">
        <v>113</v>
      </c>
      <c r="D230" s="6" t="s">
        <v>747</v>
      </c>
      <c r="E230" s="6" t="s">
        <v>396</v>
      </c>
      <c r="F230" s="6" t="s">
        <v>677</v>
      </c>
      <c r="G230" s="11">
        <f>G231</f>
        <v>151.51515000000001</v>
      </c>
      <c r="H230" s="13">
        <f>H231</f>
        <v>0</v>
      </c>
      <c r="I230" s="13">
        <f>I231</f>
        <v>0</v>
      </c>
    </row>
    <row r="231" spans="1:9" ht="45" x14ac:dyDescent="0.25">
      <c r="A231" s="255" t="s">
        <v>678</v>
      </c>
      <c r="B231" s="17">
        <v>951</v>
      </c>
      <c r="C231" s="6" t="s">
        <v>113</v>
      </c>
      <c r="D231" s="6" t="s">
        <v>747</v>
      </c>
      <c r="E231" s="6" t="s">
        <v>396</v>
      </c>
      <c r="F231" s="6" t="s">
        <v>679</v>
      </c>
      <c r="G231" s="11">
        <f>'5'!D209</f>
        <v>151.51515000000001</v>
      </c>
      <c r="H231" s="13">
        <f>'5'!E209</f>
        <v>0</v>
      </c>
      <c r="I231" s="13">
        <f>'5'!F209</f>
        <v>0</v>
      </c>
    </row>
    <row r="232" spans="1:9" ht="49.5" customHeight="1" x14ac:dyDescent="0.25">
      <c r="A232" s="277" t="s">
        <v>669</v>
      </c>
      <c r="B232" s="42" t="s">
        <v>117</v>
      </c>
      <c r="C232" s="18" t="s">
        <v>113</v>
      </c>
      <c r="D232" s="18" t="s">
        <v>747</v>
      </c>
      <c r="E232" s="18" t="s">
        <v>5</v>
      </c>
      <c r="F232" s="18" t="s">
        <v>222</v>
      </c>
      <c r="G232" s="95">
        <f t="shared" ref="G232:I233" si="44">G233</f>
        <v>144.62</v>
      </c>
      <c r="H232" s="15">
        <f t="shared" si="44"/>
        <v>80.319999999999993</v>
      </c>
      <c r="I232" s="15">
        <f t="shared" si="44"/>
        <v>80.319999999999993</v>
      </c>
    </row>
    <row r="233" spans="1:9" ht="49.5" customHeight="1" x14ac:dyDescent="0.25">
      <c r="A233" s="255" t="s">
        <v>110</v>
      </c>
      <c r="B233" s="17" t="s">
        <v>117</v>
      </c>
      <c r="C233" s="6" t="s">
        <v>113</v>
      </c>
      <c r="D233" s="6" t="s">
        <v>747</v>
      </c>
      <c r="E233" s="6" t="s">
        <v>6</v>
      </c>
      <c r="F233" s="6" t="s">
        <v>222</v>
      </c>
      <c r="G233" s="11">
        <f t="shared" si="44"/>
        <v>144.62</v>
      </c>
      <c r="H233" s="13">
        <f t="shared" si="44"/>
        <v>80.319999999999993</v>
      </c>
      <c r="I233" s="13">
        <f t="shared" si="44"/>
        <v>80.319999999999993</v>
      </c>
    </row>
    <row r="234" spans="1:9" ht="19.5" customHeight="1" x14ac:dyDescent="0.25">
      <c r="A234" s="255" t="s">
        <v>313</v>
      </c>
      <c r="B234" s="17" t="s">
        <v>117</v>
      </c>
      <c r="C234" s="6" t="s">
        <v>113</v>
      </c>
      <c r="D234" s="6" t="s">
        <v>747</v>
      </c>
      <c r="E234" s="17" t="s">
        <v>314</v>
      </c>
      <c r="F234" s="6" t="s">
        <v>222</v>
      </c>
      <c r="G234" s="11">
        <f>G235+G237</f>
        <v>144.62</v>
      </c>
      <c r="H234" s="13">
        <f>H235+H237</f>
        <v>80.319999999999993</v>
      </c>
      <c r="I234" s="13">
        <f>I235+I237</f>
        <v>80.319999999999993</v>
      </c>
    </row>
    <row r="235" spans="1:9" ht="31.15" customHeight="1" x14ac:dyDescent="0.25">
      <c r="A235" s="255" t="s">
        <v>676</v>
      </c>
      <c r="B235" s="17" t="s">
        <v>117</v>
      </c>
      <c r="C235" s="6" t="s">
        <v>113</v>
      </c>
      <c r="D235" s="6" t="s">
        <v>747</v>
      </c>
      <c r="E235" s="17" t="s">
        <v>314</v>
      </c>
      <c r="F235" s="6" t="s">
        <v>677</v>
      </c>
      <c r="G235" s="11">
        <f>G236</f>
        <v>64.3</v>
      </c>
      <c r="H235" s="13">
        <f>H236</f>
        <v>0</v>
      </c>
      <c r="I235" s="13">
        <f>I236</f>
        <v>0</v>
      </c>
    </row>
    <row r="236" spans="1:9" ht="45" customHeight="1" x14ac:dyDescent="0.25">
      <c r="A236" s="255" t="s">
        <v>678</v>
      </c>
      <c r="B236" s="17" t="s">
        <v>117</v>
      </c>
      <c r="C236" s="6" t="s">
        <v>113</v>
      </c>
      <c r="D236" s="6" t="s">
        <v>747</v>
      </c>
      <c r="E236" s="17" t="s">
        <v>314</v>
      </c>
      <c r="F236" s="6" t="s">
        <v>679</v>
      </c>
      <c r="G236" s="11">
        <v>64.3</v>
      </c>
      <c r="H236" s="13">
        <v>0</v>
      </c>
      <c r="I236" s="13">
        <v>0</v>
      </c>
    </row>
    <row r="237" spans="1:9" ht="18" customHeight="1" x14ac:dyDescent="0.25">
      <c r="A237" s="255" t="s">
        <v>680</v>
      </c>
      <c r="B237" s="17" t="s">
        <v>117</v>
      </c>
      <c r="C237" s="6" t="s">
        <v>113</v>
      </c>
      <c r="D237" s="6" t="s">
        <v>747</v>
      </c>
      <c r="E237" s="17" t="s">
        <v>314</v>
      </c>
      <c r="F237" s="6" t="s">
        <v>681</v>
      </c>
      <c r="G237" s="11">
        <f>G238</f>
        <v>80.319999999999993</v>
      </c>
      <c r="H237" s="13">
        <f>H238</f>
        <v>80.319999999999993</v>
      </c>
      <c r="I237" s="13">
        <f>I238</f>
        <v>80.319999999999993</v>
      </c>
    </row>
    <row r="238" spans="1:9" ht="15" customHeight="1" x14ac:dyDescent="0.25">
      <c r="A238" s="255" t="s">
        <v>682</v>
      </c>
      <c r="B238" s="17" t="s">
        <v>117</v>
      </c>
      <c r="C238" s="6" t="s">
        <v>113</v>
      </c>
      <c r="D238" s="6" t="s">
        <v>747</v>
      </c>
      <c r="E238" s="17" t="s">
        <v>314</v>
      </c>
      <c r="F238" s="6" t="s">
        <v>683</v>
      </c>
      <c r="G238" s="11">
        <v>80.319999999999993</v>
      </c>
      <c r="H238" s="13">
        <f>'5'!E298</f>
        <v>80.319999999999993</v>
      </c>
      <c r="I238" s="13">
        <f>'5'!F298</f>
        <v>80.319999999999993</v>
      </c>
    </row>
    <row r="239" spans="1:9" ht="30" x14ac:dyDescent="0.25">
      <c r="A239" s="301" t="s">
        <v>767</v>
      </c>
      <c r="B239" s="179">
        <v>951</v>
      </c>
      <c r="C239" s="180" t="s">
        <v>113</v>
      </c>
      <c r="D239" s="180" t="s">
        <v>768</v>
      </c>
      <c r="E239" s="180" t="s">
        <v>666</v>
      </c>
      <c r="F239" s="180" t="s">
        <v>222</v>
      </c>
      <c r="G239" s="181">
        <f>G240+G249</f>
        <v>66027.029899999994</v>
      </c>
      <c r="H239" s="181">
        <f t="shared" ref="H239:I239" si="45">H240+H249</f>
        <v>200</v>
      </c>
      <c r="I239" s="181">
        <f t="shared" si="45"/>
        <v>200</v>
      </c>
    </row>
    <row r="240" spans="1:9" ht="44.45" customHeight="1" x14ac:dyDescent="0.25">
      <c r="A240" s="254" t="s">
        <v>769</v>
      </c>
      <c r="B240" s="3">
        <v>951</v>
      </c>
      <c r="C240" s="4" t="s">
        <v>113</v>
      </c>
      <c r="D240" s="4" t="s">
        <v>768</v>
      </c>
      <c r="E240" s="4" t="s">
        <v>251</v>
      </c>
      <c r="F240" s="4" t="s">
        <v>222</v>
      </c>
      <c r="G240" s="11">
        <f>G241</f>
        <v>72</v>
      </c>
      <c r="H240" s="11">
        <f t="shared" ref="H240:I242" si="46">H241</f>
        <v>200</v>
      </c>
      <c r="I240" s="11">
        <f t="shared" si="46"/>
        <v>200</v>
      </c>
    </row>
    <row r="241" spans="1:9" ht="33" customHeight="1" x14ac:dyDescent="0.25">
      <c r="A241" s="254" t="s">
        <v>770</v>
      </c>
      <c r="B241" s="3">
        <v>951</v>
      </c>
      <c r="C241" s="4" t="s">
        <v>113</v>
      </c>
      <c r="D241" s="4" t="s">
        <v>768</v>
      </c>
      <c r="E241" s="4" t="s">
        <v>252</v>
      </c>
      <c r="F241" s="4" t="s">
        <v>222</v>
      </c>
      <c r="G241" s="11">
        <f>G242+G247</f>
        <v>72</v>
      </c>
      <c r="H241" s="11">
        <f>H242+H247</f>
        <v>200</v>
      </c>
      <c r="I241" s="11">
        <f>I242+I247</f>
        <v>200</v>
      </c>
    </row>
    <row r="242" spans="1:9" ht="17.100000000000001" customHeight="1" x14ac:dyDescent="0.25">
      <c r="A242" s="254" t="s">
        <v>680</v>
      </c>
      <c r="B242" s="3">
        <v>951</v>
      </c>
      <c r="C242" s="4" t="s">
        <v>113</v>
      </c>
      <c r="D242" s="4" t="s">
        <v>768</v>
      </c>
      <c r="E242" s="4" t="s">
        <v>252</v>
      </c>
      <c r="F242" s="4" t="s">
        <v>681</v>
      </c>
      <c r="G242" s="11">
        <f>G243</f>
        <v>69</v>
      </c>
      <c r="H242" s="11">
        <f t="shared" si="46"/>
        <v>197</v>
      </c>
      <c r="I242" s="11">
        <f t="shared" si="46"/>
        <v>197</v>
      </c>
    </row>
    <row r="243" spans="1:9" ht="47.45" customHeight="1" x14ac:dyDescent="0.25">
      <c r="A243" s="254" t="s">
        <v>386</v>
      </c>
      <c r="B243" s="3">
        <v>951</v>
      </c>
      <c r="C243" s="4" t="s">
        <v>113</v>
      </c>
      <c r="D243" s="4" t="s">
        <v>768</v>
      </c>
      <c r="E243" s="4" t="s">
        <v>252</v>
      </c>
      <c r="F243" s="4" t="s">
        <v>760</v>
      </c>
      <c r="G243" s="11">
        <f>'5'!D200</f>
        <v>69</v>
      </c>
      <c r="H243" s="11">
        <f>'5'!E200</f>
        <v>197</v>
      </c>
      <c r="I243" s="11">
        <f>'5'!F200</f>
        <v>197</v>
      </c>
    </row>
    <row r="244" spans="1:9" hidden="1" x14ac:dyDescent="0.25">
      <c r="A244" s="263"/>
      <c r="B244" s="3">
        <v>952</v>
      </c>
      <c r="C244" s="4" t="s">
        <v>113</v>
      </c>
      <c r="D244" s="4" t="s">
        <v>768</v>
      </c>
      <c r="E244" s="4" t="s">
        <v>252</v>
      </c>
      <c r="F244" s="158"/>
      <c r="G244" s="95"/>
      <c r="H244" s="95"/>
      <c r="I244" s="95"/>
    </row>
    <row r="245" spans="1:9" hidden="1" x14ac:dyDescent="0.25">
      <c r="A245" s="254"/>
      <c r="B245" s="3">
        <v>953</v>
      </c>
      <c r="C245" s="4" t="s">
        <v>113</v>
      </c>
      <c r="D245" s="4" t="s">
        <v>768</v>
      </c>
      <c r="E245" s="4" t="s">
        <v>252</v>
      </c>
      <c r="F245" s="4"/>
      <c r="G245" s="11"/>
      <c r="H245" s="11"/>
      <c r="I245" s="11"/>
    </row>
    <row r="246" spans="1:9" hidden="1" x14ac:dyDescent="0.25">
      <c r="A246" s="254"/>
      <c r="B246" s="3">
        <v>954</v>
      </c>
      <c r="C246" s="4" t="s">
        <v>113</v>
      </c>
      <c r="D246" s="4" t="s">
        <v>768</v>
      </c>
      <c r="E246" s="4" t="s">
        <v>252</v>
      </c>
      <c r="F246" s="4"/>
      <c r="G246" s="11"/>
      <c r="H246" s="11"/>
      <c r="I246" s="11"/>
    </row>
    <row r="247" spans="1:9" ht="30" x14ac:dyDescent="0.25">
      <c r="A247" s="254" t="s">
        <v>676</v>
      </c>
      <c r="B247" s="3" t="s">
        <v>117</v>
      </c>
      <c r="C247" s="4" t="s">
        <v>113</v>
      </c>
      <c r="D247" s="4" t="s">
        <v>768</v>
      </c>
      <c r="E247" s="4" t="s">
        <v>252</v>
      </c>
      <c r="F247" s="4" t="s">
        <v>677</v>
      </c>
      <c r="G247" s="11">
        <f>G248</f>
        <v>3</v>
      </c>
      <c r="H247" s="11">
        <f>H248</f>
        <v>3</v>
      </c>
      <c r="I247" s="11">
        <f>I248</f>
        <v>3</v>
      </c>
    </row>
    <row r="248" spans="1:9" ht="45" x14ac:dyDescent="0.25">
      <c r="A248" s="254" t="s">
        <v>678</v>
      </c>
      <c r="B248" s="3" t="s">
        <v>117</v>
      </c>
      <c r="C248" s="4" t="s">
        <v>113</v>
      </c>
      <c r="D248" s="4" t="s">
        <v>768</v>
      </c>
      <c r="E248" s="4" t="s">
        <v>252</v>
      </c>
      <c r="F248" s="4" t="s">
        <v>679</v>
      </c>
      <c r="G248" s="11">
        <f>'5'!D201</f>
        <v>3</v>
      </c>
      <c r="H248" s="11">
        <f>'5'!E201</f>
        <v>3</v>
      </c>
      <c r="I248" s="11">
        <f>'5'!F201</f>
        <v>3</v>
      </c>
    </row>
    <row r="249" spans="1:9" ht="51" customHeight="1" x14ac:dyDescent="0.25">
      <c r="A249" s="263" t="s">
        <v>1014</v>
      </c>
      <c r="B249" s="3" t="s">
        <v>117</v>
      </c>
      <c r="C249" s="4" t="s">
        <v>113</v>
      </c>
      <c r="D249" s="4" t="s">
        <v>768</v>
      </c>
      <c r="E249" s="158" t="s">
        <v>1015</v>
      </c>
      <c r="F249" s="4" t="s">
        <v>222</v>
      </c>
      <c r="G249" s="11">
        <f>G250+G257+G264</f>
        <v>65955.029899999994</v>
      </c>
      <c r="H249" s="11">
        <f t="shared" ref="H249:I249" si="47">H250+H257</f>
        <v>0</v>
      </c>
      <c r="I249" s="11">
        <f t="shared" si="47"/>
        <v>0</v>
      </c>
    </row>
    <row r="250" spans="1:9" ht="51" customHeight="1" x14ac:dyDescent="0.25">
      <c r="A250" s="254" t="s">
        <v>1001</v>
      </c>
      <c r="B250" s="3" t="s">
        <v>117</v>
      </c>
      <c r="C250" s="4" t="s">
        <v>113</v>
      </c>
      <c r="D250" s="4" t="s">
        <v>768</v>
      </c>
      <c r="E250" s="4" t="s">
        <v>1013</v>
      </c>
      <c r="F250" s="4" t="s">
        <v>222</v>
      </c>
      <c r="G250" s="11">
        <f>G251+G254</f>
        <v>5050.5050499999998</v>
      </c>
      <c r="H250" s="11">
        <f>H251+H254</f>
        <v>0</v>
      </c>
      <c r="I250" s="11">
        <f>I251+I254</f>
        <v>0</v>
      </c>
    </row>
    <row r="251" spans="1:9" ht="75" x14ac:dyDescent="0.25">
      <c r="A251" s="254" t="s">
        <v>1079</v>
      </c>
      <c r="B251" s="3" t="s">
        <v>117</v>
      </c>
      <c r="C251" s="4" t="s">
        <v>113</v>
      </c>
      <c r="D251" s="4" t="s">
        <v>768</v>
      </c>
      <c r="E251" s="4" t="s">
        <v>1013</v>
      </c>
      <c r="F251" s="4" t="s">
        <v>222</v>
      </c>
      <c r="G251" s="11">
        <f t="shared" ref="G251:I252" si="48">G252</f>
        <v>5000</v>
      </c>
      <c r="H251" s="11">
        <f t="shared" si="48"/>
        <v>0</v>
      </c>
      <c r="I251" s="11">
        <f t="shared" si="48"/>
        <v>0</v>
      </c>
    </row>
    <row r="252" spans="1:9" ht="33.75" customHeight="1" x14ac:dyDescent="0.25">
      <c r="A252" s="254" t="s">
        <v>676</v>
      </c>
      <c r="B252" s="3" t="s">
        <v>117</v>
      </c>
      <c r="C252" s="4" t="s">
        <v>113</v>
      </c>
      <c r="D252" s="4" t="s">
        <v>768</v>
      </c>
      <c r="E252" s="4" t="s">
        <v>1013</v>
      </c>
      <c r="F252" s="4" t="s">
        <v>677</v>
      </c>
      <c r="G252" s="11">
        <f t="shared" si="48"/>
        <v>5000</v>
      </c>
      <c r="H252" s="11">
        <f t="shared" si="48"/>
        <v>0</v>
      </c>
      <c r="I252" s="11">
        <f t="shared" si="48"/>
        <v>0</v>
      </c>
    </row>
    <row r="253" spans="1:9" ht="50.25" customHeight="1" x14ac:dyDescent="0.25">
      <c r="A253" s="254" t="s">
        <v>678</v>
      </c>
      <c r="B253" s="3" t="s">
        <v>117</v>
      </c>
      <c r="C253" s="4" t="s">
        <v>113</v>
      </c>
      <c r="D253" s="4" t="s">
        <v>768</v>
      </c>
      <c r="E253" s="4" t="s">
        <v>1013</v>
      </c>
      <c r="F253" s="4" t="s">
        <v>679</v>
      </c>
      <c r="G253" s="11">
        <f>'5'!D254</f>
        <v>5000</v>
      </c>
      <c r="H253" s="11">
        <f>'5'!E254</f>
        <v>0</v>
      </c>
      <c r="I253" s="11">
        <f>'5'!F254</f>
        <v>0</v>
      </c>
    </row>
    <row r="254" spans="1:9" ht="101.25" customHeight="1" x14ac:dyDescent="0.25">
      <c r="A254" s="254" t="s">
        <v>1078</v>
      </c>
      <c r="B254" s="3" t="s">
        <v>117</v>
      </c>
      <c r="C254" s="4" t="s">
        <v>113</v>
      </c>
      <c r="D254" s="4" t="s">
        <v>768</v>
      </c>
      <c r="E254" s="4" t="s">
        <v>1019</v>
      </c>
      <c r="F254" s="4" t="s">
        <v>222</v>
      </c>
      <c r="G254" s="11">
        <f t="shared" ref="G254:I255" si="49">G255</f>
        <v>50.505049999999997</v>
      </c>
      <c r="H254" s="11">
        <f t="shared" si="49"/>
        <v>0</v>
      </c>
      <c r="I254" s="11">
        <f t="shared" si="49"/>
        <v>0</v>
      </c>
    </row>
    <row r="255" spans="1:9" ht="30" x14ac:dyDescent="0.25">
      <c r="A255" s="254" t="s">
        <v>676</v>
      </c>
      <c r="B255" s="3" t="s">
        <v>117</v>
      </c>
      <c r="C255" s="4" t="s">
        <v>113</v>
      </c>
      <c r="D255" s="4" t="s">
        <v>768</v>
      </c>
      <c r="E255" s="4" t="s">
        <v>1019</v>
      </c>
      <c r="F255" s="4" t="s">
        <v>677</v>
      </c>
      <c r="G255" s="11">
        <f t="shared" si="49"/>
        <v>50.505049999999997</v>
      </c>
      <c r="H255" s="11">
        <f t="shared" si="49"/>
        <v>0</v>
      </c>
      <c r="I255" s="11">
        <f t="shared" si="49"/>
        <v>0</v>
      </c>
    </row>
    <row r="256" spans="1:9" ht="51" customHeight="1" x14ac:dyDescent="0.25">
      <c r="A256" s="254" t="s">
        <v>678</v>
      </c>
      <c r="B256" s="3" t="s">
        <v>117</v>
      </c>
      <c r="C256" s="4" t="s">
        <v>113</v>
      </c>
      <c r="D256" s="4" t="s">
        <v>768</v>
      </c>
      <c r="E256" s="4" t="s">
        <v>1019</v>
      </c>
      <c r="F256" s="4" t="s">
        <v>679</v>
      </c>
      <c r="G256" s="11">
        <f>'5'!D255</f>
        <v>50.505049999999997</v>
      </c>
      <c r="H256" s="11">
        <f>'5'!E255</f>
        <v>0</v>
      </c>
      <c r="I256" s="11">
        <f>'5'!F255</f>
        <v>0</v>
      </c>
    </row>
    <row r="257" spans="1:10" ht="143.25" customHeight="1" x14ac:dyDescent="0.25">
      <c r="A257" s="263" t="s">
        <v>1083</v>
      </c>
      <c r="B257" s="3" t="s">
        <v>117</v>
      </c>
      <c r="C257" s="4" t="s">
        <v>113</v>
      </c>
      <c r="D257" s="4" t="s">
        <v>768</v>
      </c>
      <c r="E257" s="158" t="s">
        <v>1038</v>
      </c>
      <c r="F257" s="158" t="s">
        <v>222</v>
      </c>
      <c r="G257" s="11">
        <f>G258+G261</f>
        <v>60554.524850000002</v>
      </c>
      <c r="H257" s="11">
        <f t="shared" ref="H257:I257" si="50">H258+H261</f>
        <v>0</v>
      </c>
      <c r="I257" s="11">
        <f t="shared" si="50"/>
        <v>0</v>
      </c>
    </row>
    <row r="258" spans="1:10" ht="135" x14ac:dyDescent="0.25">
      <c r="A258" s="254" t="s">
        <v>1081</v>
      </c>
      <c r="B258" s="3" t="s">
        <v>117</v>
      </c>
      <c r="C258" s="4" t="s">
        <v>113</v>
      </c>
      <c r="D258" s="4" t="s">
        <v>768</v>
      </c>
      <c r="E258" s="4" t="s">
        <v>1036</v>
      </c>
      <c r="F258" s="4" t="s">
        <v>222</v>
      </c>
      <c r="G258" s="11">
        <f>G259</f>
        <v>59948.979599999999</v>
      </c>
      <c r="H258" s="11">
        <f t="shared" ref="H258:I259" si="51">H259</f>
        <v>0</v>
      </c>
      <c r="I258" s="11">
        <f t="shared" si="51"/>
        <v>0</v>
      </c>
    </row>
    <row r="259" spans="1:10" ht="30" x14ac:dyDescent="0.25">
      <c r="A259" s="254" t="s">
        <v>676</v>
      </c>
      <c r="B259" s="3" t="s">
        <v>117</v>
      </c>
      <c r="C259" s="4" t="s">
        <v>113</v>
      </c>
      <c r="D259" s="4" t="s">
        <v>768</v>
      </c>
      <c r="E259" s="4" t="s">
        <v>1036</v>
      </c>
      <c r="F259" s="4" t="s">
        <v>677</v>
      </c>
      <c r="G259" s="11">
        <f>G260</f>
        <v>59948.979599999999</v>
      </c>
      <c r="H259" s="11">
        <f t="shared" si="51"/>
        <v>0</v>
      </c>
      <c r="I259" s="11">
        <f t="shared" si="51"/>
        <v>0</v>
      </c>
    </row>
    <row r="260" spans="1:10" ht="45" x14ac:dyDescent="0.25">
      <c r="A260" s="254" t="s">
        <v>678</v>
      </c>
      <c r="B260" s="3" t="s">
        <v>117</v>
      </c>
      <c r="C260" s="4" t="s">
        <v>113</v>
      </c>
      <c r="D260" s="4" t="s">
        <v>768</v>
      </c>
      <c r="E260" s="4" t="s">
        <v>1036</v>
      </c>
      <c r="F260" s="4" t="s">
        <v>679</v>
      </c>
      <c r="G260" s="11">
        <f>'3'!F315</f>
        <v>59948.979599999999</v>
      </c>
      <c r="H260" s="11">
        <f>'3'!G315</f>
        <v>0</v>
      </c>
      <c r="I260" s="11">
        <f>'3'!H315</f>
        <v>0</v>
      </c>
    </row>
    <row r="261" spans="1:10" ht="135" x14ac:dyDescent="0.25">
      <c r="A261" s="254" t="s">
        <v>1082</v>
      </c>
      <c r="B261" s="3" t="s">
        <v>117</v>
      </c>
      <c r="C261" s="4" t="s">
        <v>113</v>
      </c>
      <c r="D261" s="4" t="s">
        <v>768</v>
      </c>
      <c r="E261" s="4" t="s">
        <v>1036</v>
      </c>
      <c r="F261" s="4" t="s">
        <v>222</v>
      </c>
      <c r="G261" s="11">
        <f>G262</f>
        <v>605.54525000000001</v>
      </c>
      <c r="H261" s="11">
        <f t="shared" ref="H261:I262" si="52">H262</f>
        <v>0</v>
      </c>
      <c r="I261" s="11">
        <f t="shared" si="52"/>
        <v>0</v>
      </c>
    </row>
    <row r="262" spans="1:10" ht="30" x14ac:dyDescent="0.25">
      <c r="A262" s="254" t="s">
        <v>676</v>
      </c>
      <c r="B262" s="3" t="s">
        <v>117</v>
      </c>
      <c r="C262" s="4" t="s">
        <v>113</v>
      </c>
      <c r="D262" s="4" t="s">
        <v>768</v>
      </c>
      <c r="E262" s="4" t="s">
        <v>1036</v>
      </c>
      <c r="F262" s="4" t="s">
        <v>677</v>
      </c>
      <c r="G262" s="11">
        <f>G263</f>
        <v>605.54525000000001</v>
      </c>
      <c r="H262" s="11">
        <f t="shared" si="52"/>
        <v>0</v>
      </c>
      <c r="I262" s="11">
        <f t="shared" si="52"/>
        <v>0</v>
      </c>
    </row>
    <row r="263" spans="1:10" ht="45" x14ac:dyDescent="0.25">
      <c r="A263" s="254" t="s">
        <v>678</v>
      </c>
      <c r="B263" s="3" t="s">
        <v>117</v>
      </c>
      <c r="C263" s="4" t="s">
        <v>113</v>
      </c>
      <c r="D263" s="4" t="s">
        <v>768</v>
      </c>
      <c r="E263" s="4" t="s">
        <v>1036</v>
      </c>
      <c r="F263" s="4" t="s">
        <v>679</v>
      </c>
      <c r="G263" s="11">
        <f>'5'!D253</f>
        <v>605.54525000000001</v>
      </c>
      <c r="H263" s="11">
        <f>'5'!E253</f>
        <v>0</v>
      </c>
      <c r="I263" s="11">
        <f>'5'!F253</f>
        <v>0</v>
      </c>
    </row>
    <row r="264" spans="1:10" ht="60" x14ac:dyDescent="0.25">
      <c r="A264" s="263" t="s">
        <v>1088</v>
      </c>
      <c r="B264" s="3" t="s">
        <v>117</v>
      </c>
      <c r="C264" s="4" t="s">
        <v>113</v>
      </c>
      <c r="D264" s="4" t="s">
        <v>768</v>
      </c>
      <c r="E264" s="158" t="s">
        <v>1087</v>
      </c>
      <c r="F264" s="4" t="s">
        <v>222</v>
      </c>
      <c r="G264" s="11">
        <f>G265</f>
        <v>350</v>
      </c>
      <c r="H264" s="11">
        <f t="shared" ref="H264:I265" si="53">H265</f>
        <v>0</v>
      </c>
      <c r="I264" s="11">
        <f t="shared" si="53"/>
        <v>0</v>
      </c>
    </row>
    <row r="265" spans="1:10" ht="30" x14ac:dyDescent="0.25">
      <c r="A265" s="254" t="s">
        <v>676</v>
      </c>
      <c r="B265" s="3" t="s">
        <v>117</v>
      </c>
      <c r="C265" s="4" t="s">
        <v>113</v>
      </c>
      <c r="D265" s="4" t="s">
        <v>768</v>
      </c>
      <c r="E265" s="4" t="s">
        <v>1087</v>
      </c>
      <c r="F265" s="4" t="s">
        <v>677</v>
      </c>
      <c r="G265" s="11">
        <f>G266</f>
        <v>350</v>
      </c>
      <c r="H265" s="11">
        <f t="shared" si="53"/>
        <v>0</v>
      </c>
      <c r="I265" s="11">
        <f t="shared" si="53"/>
        <v>0</v>
      </c>
    </row>
    <row r="266" spans="1:10" ht="45" x14ac:dyDescent="0.25">
      <c r="A266" s="254" t="s">
        <v>678</v>
      </c>
      <c r="B266" s="3" t="s">
        <v>117</v>
      </c>
      <c r="C266" s="4" t="s">
        <v>113</v>
      </c>
      <c r="D266" s="4" t="s">
        <v>768</v>
      </c>
      <c r="E266" s="4" t="s">
        <v>1087</v>
      </c>
      <c r="F266" s="4" t="s">
        <v>679</v>
      </c>
      <c r="G266" s="11">
        <f>'5'!D256</f>
        <v>350</v>
      </c>
      <c r="H266" s="11">
        <v>0</v>
      </c>
      <c r="I266" s="11">
        <v>0</v>
      </c>
    </row>
    <row r="267" spans="1:10" ht="29.65" customHeight="1" x14ac:dyDescent="0.25">
      <c r="A267" s="303" t="s">
        <v>772</v>
      </c>
      <c r="B267" s="185">
        <v>951</v>
      </c>
      <c r="C267" s="184" t="s">
        <v>685</v>
      </c>
      <c r="D267" s="184" t="s">
        <v>109</v>
      </c>
      <c r="E267" s="184" t="s">
        <v>666</v>
      </c>
      <c r="F267" s="184" t="s">
        <v>222</v>
      </c>
      <c r="G267" s="178">
        <f>G268+G310+G295</f>
        <v>2986.8384874747476</v>
      </c>
      <c r="H267" s="178">
        <f>H268+H310+H295</f>
        <v>1706.9133800000002</v>
      </c>
      <c r="I267" s="178">
        <f>I268+I310+I295</f>
        <v>1707.0096800000001</v>
      </c>
      <c r="J267" s="7">
        <v>6638.2233699999997</v>
      </c>
    </row>
    <row r="268" spans="1:10" x14ac:dyDescent="0.25">
      <c r="A268" s="301" t="s">
        <v>773</v>
      </c>
      <c r="B268" s="179">
        <v>951</v>
      </c>
      <c r="C268" s="180" t="s">
        <v>685</v>
      </c>
      <c r="D268" s="180" t="s">
        <v>668</v>
      </c>
      <c r="E268" s="180" t="s">
        <v>666</v>
      </c>
      <c r="F268" s="180" t="s">
        <v>222</v>
      </c>
      <c r="G268" s="181">
        <f>G269+G276+G279+G282+G287+G292+G273</f>
        <v>2544.5237474747478</v>
      </c>
      <c r="H268" s="181">
        <f t="shared" ref="H268:I268" si="54">H269+H276+H279+H282+H287+H292+H273</f>
        <v>1264.5060600000002</v>
      </c>
      <c r="I268" s="181">
        <f t="shared" si="54"/>
        <v>1264.5060600000002</v>
      </c>
    </row>
    <row r="269" spans="1:10" ht="17.649999999999999" hidden="1" customHeight="1" x14ac:dyDescent="0.25">
      <c r="A269" s="255" t="s">
        <v>774</v>
      </c>
      <c r="B269" s="17">
        <v>951</v>
      </c>
      <c r="C269" s="6" t="s">
        <v>685</v>
      </c>
      <c r="D269" s="6" t="s">
        <v>668</v>
      </c>
      <c r="E269" s="6" t="s">
        <v>17</v>
      </c>
      <c r="F269" s="6" t="s">
        <v>222</v>
      </c>
      <c r="G269" s="13">
        <f>G270</f>
        <v>0</v>
      </c>
      <c r="H269" s="13">
        <f t="shared" ref="H269:I271" si="55">H270</f>
        <v>0</v>
      </c>
      <c r="I269" s="13">
        <f t="shared" si="55"/>
        <v>0</v>
      </c>
    </row>
    <row r="270" spans="1:10" ht="30" hidden="1" x14ac:dyDescent="0.25">
      <c r="A270" s="255" t="s">
        <v>315</v>
      </c>
      <c r="B270" s="17">
        <v>951</v>
      </c>
      <c r="C270" s="6" t="s">
        <v>685</v>
      </c>
      <c r="D270" s="6" t="s">
        <v>668</v>
      </c>
      <c r="E270" s="6" t="s">
        <v>17</v>
      </c>
      <c r="F270" s="6" t="s">
        <v>222</v>
      </c>
      <c r="G270" s="13">
        <f>G271</f>
        <v>0</v>
      </c>
      <c r="H270" s="13">
        <f t="shared" si="55"/>
        <v>0</v>
      </c>
      <c r="I270" s="13">
        <f t="shared" si="55"/>
        <v>0</v>
      </c>
    </row>
    <row r="271" spans="1:10" ht="30.6" hidden="1" customHeight="1" x14ac:dyDescent="0.25">
      <c r="A271" s="255" t="s">
        <v>676</v>
      </c>
      <c r="B271" s="17">
        <v>951</v>
      </c>
      <c r="C271" s="6" t="s">
        <v>685</v>
      </c>
      <c r="D271" s="6" t="s">
        <v>668</v>
      </c>
      <c r="E271" s="6" t="s">
        <v>17</v>
      </c>
      <c r="F271" s="6" t="s">
        <v>677</v>
      </c>
      <c r="G271" s="13">
        <f>G272</f>
        <v>0</v>
      </c>
      <c r="H271" s="13">
        <f t="shared" si="55"/>
        <v>0</v>
      </c>
      <c r="I271" s="13">
        <f t="shared" si="55"/>
        <v>0</v>
      </c>
    </row>
    <row r="272" spans="1:10" ht="44.1" hidden="1" customHeight="1" x14ac:dyDescent="0.25">
      <c r="A272" s="255" t="s">
        <v>678</v>
      </c>
      <c r="B272" s="17">
        <v>951</v>
      </c>
      <c r="C272" s="6" t="s">
        <v>685</v>
      </c>
      <c r="D272" s="6" t="s">
        <v>668</v>
      </c>
      <c r="E272" s="6" t="s">
        <v>17</v>
      </c>
      <c r="F272" s="6" t="s">
        <v>679</v>
      </c>
      <c r="G272" s="11">
        <v>0</v>
      </c>
      <c r="H272" s="11">
        <v>0</v>
      </c>
      <c r="I272" s="11">
        <v>0</v>
      </c>
    </row>
    <row r="273" spans="1:10" ht="21" hidden="1" customHeight="1" x14ac:dyDescent="0.25">
      <c r="A273" s="305" t="s">
        <v>213</v>
      </c>
      <c r="B273" s="97" t="s">
        <v>117</v>
      </c>
      <c r="C273" s="9" t="s">
        <v>685</v>
      </c>
      <c r="D273" s="9" t="s">
        <v>668</v>
      </c>
      <c r="E273" s="9" t="s">
        <v>19</v>
      </c>
      <c r="F273" s="9" t="s">
        <v>222</v>
      </c>
      <c r="G273" s="16">
        <f t="shared" ref="G273:I274" si="56">G274</f>
        <v>0</v>
      </c>
      <c r="H273" s="16">
        <f t="shared" si="56"/>
        <v>0</v>
      </c>
      <c r="I273" s="16">
        <f t="shared" si="56"/>
        <v>0</v>
      </c>
    </row>
    <row r="274" spans="1:10" ht="44.1" hidden="1" customHeight="1" x14ac:dyDescent="0.25">
      <c r="A274" s="255" t="s">
        <v>676</v>
      </c>
      <c r="B274" s="17" t="s">
        <v>117</v>
      </c>
      <c r="C274" s="6" t="s">
        <v>685</v>
      </c>
      <c r="D274" s="6" t="s">
        <v>668</v>
      </c>
      <c r="E274" s="6" t="s">
        <v>19</v>
      </c>
      <c r="F274" s="6" t="s">
        <v>677</v>
      </c>
      <c r="G274" s="11">
        <f t="shared" si="56"/>
        <v>0</v>
      </c>
      <c r="H274" s="11">
        <f t="shared" si="56"/>
        <v>0</v>
      </c>
      <c r="I274" s="11">
        <f t="shared" si="56"/>
        <v>0</v>
      </c>
    </row>
    <row r="275" spans="1:10" ht="44.1" hidden="1" customHeight="1" x14ac:dyDescent="0.25">
      <c r="A275" s="255" t="s">
        <v>678</v>
      </c>
      <c r="B275" s="17" t="s">
        <v>117</v>
      </c>
      <c r="C275" s="6" t="s">
        <v>685</v>
      </c>
      <c r="D275" s="6" t="s">
        <v>668</v>
      </c>
      <c r="E275" s="6" t="s">
        <v>19</v>
      </c>
      <c r="F275" s="6" t="s">
        <v>679</v>
      </c>
      <c r="G275" s="11"/>
      <c r="H275" s="11">
        <v>0</v>
      </c>
      <c r="I275" s="11">
        <v>0</v>
      </c>
    </row>
    <row r="276" spans="1:10" ht="33" customHeight="1" x14ac:dyDescent="0.25">
      <c r="A276" s="255" t="s">
        <v>257</v>
      </c>
      <c r="B276" s="17">
        <v>951</v>
      </c>
      <c r="C276" s="6" t="s">
        <v>685</v>
      </c>
      <c r="D276" s="6" t="s">
        <v>668</v>
      </c>
      <c r="E276" s="6" t="s">
        <v>74</v>
      </c>
      <c r="F276" s="6" t="s">
        <v>222</v>
      </c>
      <c r="G276" s="13">
        <f t="shared" ref="G276:I277" si="57">G277</f>
        <v>1063.9000000000001</v>
      </c>
      <c r="H276" s="13">
        <f t="shared" si="57"/>
        <v>1063.9000000000001</v>
      </c>
      <c r="I276" s="13">
        <f t="shared" si="57"/>
        <v>1063.9000000000001</v>
      </c>
    </row>
    <row r="277" spans="1:10" ht="33.75" customHeight="1" x14ac:dyDescent="0.25">
      <c r="A277" s="255" t="s">
        <v>676</v>
      </c>
      <c r="B277" s="17">
        <v>951</v>
      </c>
      <c r="C277" s="6" t="s">
        <v>685</v>
      </c>
      <c r="D277" s="6" t="s">
        <v>668</v>
      </c>
      <c r="E277" s="6" t="s">
        <v>74</v>
      </c>
      <c r="F277" s="6" t="s">
        <v>677</v>
      </c>
      <c r="G277" s="13">
        <f t="shared" si="57"/>
        <v>1063.9000000000001</v>
      </c>
      <c r="H277" s="13">
        <f t="shared" si="57"/>
        <v>1063.9000000000001</v>
      </c>
      <c r="I277" s="13">
        <f t="shared" si="57"/>
        <v>1063.9000000000001</v>
      </c>
    </row>
    <row r="278" spans="1:10" ht="51" customHeight="1" x14ac:dyDescent="0.25">
      <c r="A278" s="255" t="s">
        <v>678</v>
      </c>
      <c r="B278" s="17">
        <v>951</v>
      </c>
      <c r="C278" s="6" t="s">
        <v>685</v>
      </c>
      <c r="D278" s="6" t="s">
        <v>668</v>
      </c>
      <c r="E278" s="6" t="s">
        <v>74</v>
      </c>
      <c r="F278" s="6" t="s">
        <v>679</v>
      </c>
      <c r="G278" s="13">
        <f>'5'!D283</f>
        <v>1063.9000000000001</v>
      </c>
      <c r="H278" s="13">
        <f>'5'!E283</f>
        <v>1063.9000000000001</v>
      </c>
      <c r="I278" s="13">
        <f>'5'!F283</f>
        <v>1063.9000000000001</v>
      </c>
    </row>
    <row r="279" spans="1:10" ht="45" hidden="1" x14ac:dyDescent="0.25">
      <c r="A279" s="277" t="s">
        <v>401</v>
      </c>
      <c r="B279" s="42">
        <v>951</v>
      </c>
      <c r="C279" s="18" t="s">
        <v>685</v>
      </c>
      <c r="D279" s="18" t="s">
        <v>668</v>
      </c>
      <c r="E279" s="18" t="s">
        <v>402</v>
      </c>
      <c r="F279" s="18" t="s">
        <v>222</v>
      </c>
      <c r="G279" s="15">
        <f t="shared" ref="G279:I280" si="58">G280</f>
        <v>0</v>
      </c>
      <c r="H279" s="15">
        <f t="shared" si="58"/>
        <v>0</v>
      </c>
      <c r="I279" s="15">
        <f t="shared" si="58"/>
        <v>0</v>
      </c>
    </row>
    <row r="280" spans="1:10" ht="30" hidden="1" x14ac:dyDescent="0.25">
      <c r="A280" s="255" t="s">
        <v>676</v>
      </c>
      <c r="B280" s="17">
        <v>951</v>
      </c>
      <c r="C280" s="6" t="s">
        <v>685</v>
      </c>
      <c r="D280" s="6" t="s">
        <v>668</v>
      </c>
      <c r="E280" s="6" t="s">
        <v>402</v>
      </c>
      <c r="F280" s="6" t="s">
        <v>677</v>
      </c>
      <c r="G280" s="13">
        <f t="shared" si="58"/>
        <v>0</v>
      </c>
      <c r="H280" s="13">
        <f t="shared" si="58"/>
        <v>0</v>
      </c>
      <c r="I280" s="13">
        <f t="shared" si="58"/>
        <v>0</v>
      </c>
    </row>
    <row r="281" spans="1:10" ht="45" hidden="1" x14ac:dyDescent="0.25">
      <c r="A281" s="255" t="s">
        <v>678</v>
      </c>
      <c r="B281" s="17">
        <v>951</v>
      </c>
      <c r="C281" s="6" t="s">
        <v>685</v>
      </c>
      <c r="D281" s="6" t="s">
        <v>668</v>
      </c>
      <c r="E281" s="6" t="s">
        <v>402</v>
      </c>
      <c r="F281" s="6" t="s">
        <v>679</v>
      </c>
      <c r="G281" s="13"/>
      <c r="H281" s="13"/>
      <c r="I281" s="13"/>
    </row>
    <row r="282" spans="1:10" ht="94.5" customHeight="1" x14ac:dyDescent="0.25">
      <c r="A282" s="277" t="s">
        <v>775</v>
      </c>
      <c r="B282" s="42" t="s">
        <v>117</v>
      </c>
      <c r="C282" s="18" t="s">
        <v>685</v>
      </c>
      <c r="D282" s="18" t="s">
        <v>668</v>
      </c>
      <c r="E282" s="18" t="s">
        <v>316</v>
      </c>
      <c r="F282" s="18" t="s">
        <v>222</v>
      </c>
      <c r="G282" s="15">
        <f t="shared" ref="G282:I283" si="59">G283</f>
        <v>1047.0907474747476</v>
      </c>
      <c r="H282" s="15">
        <f t="shared" si="59"/>
        <v>60.606059999999999</v>
      </c>
      <c r="I282" s="15">
        <f t="shared" si="59"/>
        <v>60.606059999999999</v>
      </c>
    </row>
    <row r="283" spans="1:10" ht="65.25" customHeight="1" x14ac:dyDescent="0.25">
      <c r="A283" s="255" t="s">
        <v>776</v>
      </c>
      <c r="B283" s="17" t="s">
        <v>117</v>
      </c>
      <c r="C283" s="6" t="s">
        <v>685</v>
      </c>
      <c r="D283" s="6" t="s">
        <v>668</v>
      </c>
      <c r="E283" s="6" t="s">
        <v>316</v>
      </c>
      <c r="F283" s="6" t="s">
        <v>222</v>
      </c>
      <c r="G283" s="11">
        <f t="shared" si="59"/>
        <v>1047.0907474747476</v>
      </c>
      <c r="H283" s="13">
        <f t="shared" si="59"/>
        <v>60.606059999999999</v>
      </c>
      <c r="I283" s="13">
        <f t="shared" si="59"/>
        <v>60.606059999999999</v>
      </c>
    </row>
    <row r="284" spans="1:10" ht="20.25" customHeight="1" x14ac:dyDescent="0.25">
      <c r="A284" s="255" t="s">
        <v>680</v>
      </c>
      <c r="B284" s="17" t="s">
        <v>117</v>
      </c>
      <c r="C284" s="6" t="s">
        <v>685</v>
      </c>
      <c r="D284" s="6" t="s">
        <v>668</v>
      </c>
      <c r="E284" s="6" t="s">
        <v>316</v>
      </c>
      <c r="F284" s="6" t="s">
        <v>681</v>
      </c>
      <c r="G284" s="11">
        <f>G286+G285</f>
        <v>1047.0907474747476</v>
      </c>
      <c r="H284" s="13">
        <f>H286+H285</f>
        <v>60.606059999999999</v>
      </c>
      <c r="I284" s="13">
        <f>I286+I285</f>
        <v>60.606059999999999</v>
      </c>
    </row>
    <row r="285" spans="1:10" ht="69.75" customHeight="1" x14ac:dyDescent="0.25">
      <c r="A285" s="255" t="s">
        <v>936</v>
      </c>
      <c r="B285" s="17" t="s">
        <v>117</v>
      </c>
      <c r="C285" s="6" t="s">
        <v>685</v>
      </c>
      <c r="D285" s="6" t="s">
        <v>668</v>
      </c>
      <c r="E285" s="6" t="s">
        <v>317</v>
      </c>
      <c r="F285" s="6" t="s">
        <v>760</v>
      </c>
      <c r="G285" s="11">
        <f>'5'!D228</f>
        <v>1036.6198400000001</v>
      </c>
      <c r="H285" s="13">
        <f>'5'!E231</f>
        <v>0</v>
      </c>
      <c r="I285" s="13">
        <f>'5'!F231</f>
        <v>0</v>
      </c>
    </row>
    <row r="286" spans="1:10" ht="65.25" customHeight="1" x14ac:dyDescent="0.25">
      <c r="A286" s="255" t="s">
        <v>937</v>
      </c>
      <c r="B286" s="17" t="s">
        <v>117</v>
      </c>
      <c r="C286" s="6" t="s">
        <v>685</v>
      </c>
      <c r="D286" s="6" t="s">
        <v>668</v>
      </c>
      <c r="E286" s="4" t="s">
        <v>563</v>
      </c>
      <c r="F286" s="6" t="s">
        <v>760</v>
      </c>
      <c r="G286" s="11">
        <f>'5'!D229</f>
        <v>10.470907474747476</v>
      </c>
      <c r="H286" s="13">
        <f>'5'!E232</f>
        <v>60.606059999999999</v>
      </c>
      <c r="I286" s="13">
        <f>'5'!F232</f>
        <v>60.606059999999999</v>
      </c>
      <c r="J286" s="13" t="e">
        <f>'5'!#REF!</f>
        <v>#REF!</v>
      </c>
    </row>
    <row r="287" spans="1:10" ht="52.5" customHeight="1" x14ac:dyDescent="0.25">
      <c r="A287" s="277" t="s">
        <v>669</v>
      </c>
      <c r="B287" s="17" t="s">
        <v>117</v>
      </c>
      <c r="C287" s="6" t="s">
        <v>685</v>
      </c>
      <c r="D287" s="6" t="s">
        <v>668</v>
      </c>
      <c r="E287" s="18" t="s">
        <v>5</v>
      </c>
      <c r="F287" s="18" t="s">
        <v>222</v>
      </c>
      <c r="G287" s="95">
        <f>G288</f>
        <v>120</v>
      </c>
      <c r="H287" s="15">
        <f t="shared" ref="H287:I290" si="60">H288</f>
        <v>120</v>
      </c>
      <c r="I287" s="15">
        <f t="shared" si="60"/>
        <v>120</v>
      </c>
    </row>
    <row r="288" spans="1:10" ht="51" customHeight="1" x14ac:dyDescent="0.25">
      <c r="A288" s="255" t="s">
        <v>110</v>
      </c>
      <c r="B288" s="17" t="s">
        <v>117</v>
      </c>
      <c r="C288" s="6" t="s">
        <v>685</v>
      </c>
      <c r="D288" s="6" t="s">
        <v>668</v>
      </c>
      <c r="E288" s="6" t="s">
        <v>6</v>
      </c>
      <c r="F288" s="6" t="s">
        <v>222</v>
      </c>
      <c r="G288" s="13">
        <f>G289</f>
        <v>120</v>
      </c>
      <c r="H288" s="13">
        <f t="shared" si="60"/>
        <v>120</v>
      </c>
      <c r="I288" s="13">
        <f t="shared" si="60"/>
        <v>120</v>
      </c>
    </row>
    <row r="289" spans="1:10" ht="110.25" customHeight="1" x14ac:dyDescent="0.25">
      <c r="A289" s="266" t="s">
        <v>318</v>
      </c>
      <c r="B289" s="19" t="s">
        <v>117</v>
      </c>
      <c r="C289" s="20" t="s">
        <v>685</v>
      </c>
      <c r="D289" s="20" t="s">
        <v>668</v>
      </c>
      <c r="E289" s="20" t="s">
        <v>319</v>
      </c>
      <c r="F289" s="20" t="s">
        <v>222</v>
      </c>
      <c r="G289" s="21">
        <f>G290</f>
        <v>120</v>
      </c>
      <c r="H289" s="21">
        <f t="shared" si="60"/>
        <v>120</v>
      </c>
      <c r="I289" s="21">
        <f t="shared" si="60"/>
        <v>120</v>
      </c>
    </row>
    <row r="290" spans="1:10" ht="31.15" customHeight="1" x14ac:dyDescent="0.25">
      <c r="A290" s="255" t="s">
        <v>676</v>
      </c>
      <c r="B290" s="17" t="s">
        <v>117</v>
      </c>
      <c r="C290" s="6" t="s">
        <v>685</v>
      </c>
      <c r="D290" s="6" t="s">
        <v>668</v>
      </c>
      <c r="E290" s="6" t="s">
        <v>319</v>
      </c>
      <c r="F290" s="6" t="s">
        <v>677</v>
      </c>
      <c r="G290" s="13">
        <f>G291</f>
        <v>120</v>
      </c>
      <c r="H290" s="13">
        <f t="shared" si="60"/>
        <v>120</v>
      </c>
      <c r="I290" s="13">
        <f t="shared" si="60"/>
        <v>120</v>
      </c>
    </row>
    <row r="291" spans="1:10" ht="45" customHeight="1" x14ac:dyDescent="0.25">
      <c r="A291" s="255" t="s">
        <v>678</v>
      </c>
      <c r="B291" s="17" t="s">
        <v>117</v>
      </c>
      <c r="C291" s="6" t="s">
        <v>685</v>
      </c>
      <c r="D291" s="6" t="s">
        <v>668</v>
      </c>
      <c r="E291" s="6" t="s">
        <v>319</v>
      </c>
      <c r="F291" s="6" t="s">
        <v>679</v>
      </c>
      <c r="G291" s="13">
        <f>'5'!D299</f>
        <v>120</v>
      </c>
      <c r="H291" s="13">
        <f>'5'!E299</f>
        <v>120</v>
      </c>
      <c r="I291" s="13">
        <f>'5'!F299</f>
        <v>120</v>
      </c>
    </row>
    <row r="292" spans="1:10" ht="73.150000000000006" customHeight="1" x14ac:dyDescent="0.25">
      <c r="A292" s="277" t="s">
        <v>779</v>
      </c>
      <c r="B292" s="42" t="s">
        <v>117</v>
      </c>
      <c r="C292" s="18" t="s">
        <v>685</v>
      </c>
      <c r="D292" s="18" t="s">
        <v>668</v>
      </c>
      <c r="E292" s="18" t="s">
        <v>666</v>
      </c>
      <c r="F292" s="18" t="s">
        <v>222</v>
      </c>
      <c r="G292" s="15">
        <f t="shared" ref="G292:I293" si="61">G293</f>
        <v>313.53300000000002</v>
      </c>
      <c r="H292" s="15">
        <f t="shared" si="61"/>
        <v>20</v>
      </c>
      <c r="I292" s="15">
        <f t="shared" si="61"/>
        <v>20</v>
      </c>
    </row>
    <row r="293" spans="1:10" ht="28.15" customHeight="1" x14ac:dyDescent="0.25">
      <c r="A293" s="255" t="s">
        <v>676</v>
      </c>
      <c r="B293" s="17" t="s">
        <v>117</v>
      </c>
      <c r="C293" s="6" t="s">
        <v>685</v>
      </c>
      <c r="D293" s="6" t="s">
        <v>668</v>
      </c>
      <c r="E293" s="6" t="s">
        <v>365</v>
      </c>
      <c r="F293" s="6" t="s">
        <v>677</v>
      </c>
      <c r="G293" s="13">
        <f t="shared" si="61"/>
        <v>313.53300000000002</v>
      </c>
      <c r="H293" s="13">
        <f t="shared" si="61"/>
        <v>20</v>
      </c>
      <c r="I293" s="13">
        <f t="shared" si="61"/>
        <v>20</v>
      </c>
    </row>
    <row r="294" spans="1:10" ht="42.6" customHeight="1" x14ac:dyDescent="0.25">
      <c r="A294" s="255" t="s">
        <v>678</v>
      </c>
      <c r="B294" s="17" t="s">
        <v>117</v>
      </c>
      <c r="C294" s="6" t="s">
        <v>685</v>
      </c>
      <c r="D294" s="6" t="s">
        <v>668</v>
      </c>
      <c r="E294" s="6" t="s">
        <v>365</v>
      </c>
      <c r="F294" s="6" t="s">
        <v>679</v>
      </c>
      <c r="G294" s="13">
        <f>'5'!D212</f>
        <v>313.53300000000002</v>
      </c>
      <c r="H294" s="13">
        <f>'5'!E212</f>
        <v>20</v>
      </c>
      <c r="I294" s="13">
        <f>'5'!F212</f>
        <v>20</v>
      </c>
    </row>
    <row r="295" spans="1:10" x14ac:dyDescent="0.25">
      <c r="A295" s="301" t="s">
        <v>780</v>
      </c>
      <c r="B295" s="179">
        <v>951</v>
      </c>
      <c r="C295" s="180" t="s">
        <v>685</v>
      </c>
      <c r="D295" s="180" t="s">
        <v>111</v>
      </c>
      <c r="E295" s="180" t="s">
        <v>666</v>
      </c>
      <c r="F295" s="180" t="s">
        <v>222</v>
      </c>
      <c r="G295" s="181">
        <f>G296+G305+G299+G302</f>
        <v>440</v>
      </c>
      <c r="H295" s="181">
        <f t="shared" ref="H295:I295" si="62">H296+H305+H299+H302</f>
        <v>440</v>
      </c>
      <c r="I295" s="181">
        <f t="shared" si="62"/>
        <v>440</v>
      </c>
    </row>
    <row r="296" spans="1:10" x14ac:dyDescent="0.25">
      <c r="A296" s="255" t="s">
        <v>212</v>
      </c>
      <c r="B296" s="17">
        <v>951</v>
      </c>
      <c r="C296" s="6" t="s">
        <v>685</v>
      </c>
      <c r="D296" s="6" t="s">
        <v>111</v>
      </c>
      <c r="E296" s="6" t="s">
        <v>18</v>
      </c>
      <c r="F296" s="6" t="s">
        <v>222</v>
      </c>
      <c r="G296" s="13">
        <f t="shared" ref="G296:I297" si="63">G297</f>
        <v>90</v>
      </c>
      <c r="H296" s="13">
        <f t="shared" si="63"/>
        <v>90</v>
      </c>
      <c r="I296" s="13">
        <f t="shared" si="63"/>
        <v>90</v>
      </c>
    </row>
    <row r="297" spans="1:10" ht="30" customHeight="1" x14ac:dyDescent="0.25">
      <c r="A297" s="255" t="s">
        <v>676</v>
      </c>
      <c r="B297" s="17">
        <v>951</v>
      </c>
      <c r="C297" s="6" t="s">
        <v>685</v>
      </c>
      <c r="D297" s="6" t="s">
        <v>111</v>
      </c>
      <c r="E297" s="6" t="s">
        <v>18</v>
      </c>
      <c r="F297" s="6" t="s">
        <v>677</v>
      </c>
      <c r="G297" s="13">
        <f t="shared" si="63"/>
        <v>90</v>
      </c>
      <c r="H297" s="13">
        <f t="shared" si="63"/>
        <v>90</v>
      </c>
      <c r="I297" s="13">
        <f t="shared" si="63"/>
        <v>90</v>
      </c>
    </row>
    <row r="298" spans="1:10" ht="43.9" customHeight="1" x14ac:dyDescent="0.25">
      <c r="A298" s="255" t="s">
        <v>678</v>
      </c>
      <c r="B298" s="17">
        <v>951</v>
      </c>
      <c r="C298" s="6" t="s">
        <v>685</v>
      </c>
      <c r="D298" s="6" t="s">
        <v>111</v>
      </c>
      <c r="E298" s="6" t="s">
        <v>18</v>
      </c>
      <c r="F298" s="6" t="s">
        <v>679</v>
      </c>
      <c r="G298" s="11">
        <f>'5'!D277</f>
        <v>90</v>
      </c>
      <c r="H298" s="11">
        <f>'5'!E277</f>
        <v>90</v>
      </c>
      <c r="I298" s="11">
        <f>'5'!F277</f>
        <v>90</v>
      </c>
    </row>
    <row r="299" spans="1:10" ht="105.75" hidden="1" customHeight="1" x14ac:dyDescent="0.25">
      <c r="A299" s="306" t="s">
        <v>644</v>
      </c>
      <c r="B299" s="201">
        <v>951</v>
      </c>
      <c r="C299" s="202" t="s">
        <v>685</v>
      </c>
      <c r="D299" s="202" t="s">
        <v>111</v>
      </c>
      <c r="E299" s="202" t="s">
        <v>659</v>
      </c>
      <c r="F299" s="202" t="s">
        <v>222</v>
      </c>
      <c r="G299" s="203">
        <f>G300</f>
        <v>0</v>
      </c>
      <c r="H299" s="203">
        <f t="shared" ref="H299:J300" si="64">H300</f>
        <v>0</v>
      </c>
      <c r="I299" s="203">
        <f t="shared" si="64"/>
        <v>0</v>
      </c>
      <c r="J299" s="203" t="e">
        <f t="shared" si="64"/>
        <v>#REF!</v>
      </c>
    </row>
    <row r="300" spans="1:10" ht="43.9" hidden="1" customHeight="1" x14ac:dyDescent="0.25">
      <c r="A300" s="255" t="s">
        <v>676</v>
      </c>
      <c r="B300" s="17">
        <v>951</v>
      </c>
      <c r="C300" s="6" t="s">
        <v>685</v>
      </c>
      <c r="D300" s="6" t="s">
        <v>111</v>
      </c>
      <c r="E300" s="6" t="s">
        <v>659</v>
      </c>
      <c r="F300" s="6" t="s">
        <v>677</v>
      </c>
      <c r="G300" s="11">
        <f>G301</f>
        <v>0</v>
      </c>
      <c r="H300" s="11">
        <f t="shared" si="64"/>
        <v>0</v>
      </c>
      <c r="I300" s="11">
        <f t="shared" si="64"/>
        <v>0</v>
      </c>
      <c r="J300" s="11" t="e">
        <f t="shared" si="64"/>
        <v>#REF!</v>
      </c>
    </row>
    <row r="301" spans="1:10" ht="45" hidden="1" x14ac:dyDescent="0.25">
      <c r="A301" s="255" t="s">
        <v>678</v>
      </c>
      <c r="B301" s="17">
        <v>951</v>
      </c>
      <c r="C301" s="6" t="s">
        <v>685</v>
      </c>
      <c r="D301" s="6" t="s">
        <v>111</v>
      </c>
      <c r="E301" s="6" t="s">
        <v>659</v>
      </c>
      <c r="F301" s="6" t="s">
        <v>679</v>
      </c>
      <c r="G301" s="11">
        <f>'5'!D278</f>
        <v>0</v>
      </c>
      <c r="H301" s="13">
        <f>'5'!E278</f>
        <v>0</v>
      </c>
      <c r="I301" s="13">
        <f>'5'!F278</f>
        <v>0</v>
      </c>
      <c r="J301" s="13" t="e">
        <f>'5'!#REF!</f>
        <v>#REF!</v>
      </c>
    </row>
    <row r="302" spans="1:10" ht="90" hidden="1" x14ac:dyDescent="0.25">
      <c r="A302" s="254" t="s">
        <v>1003</v>
      </c>
      <c r="B302" s="3">
        <v>951</v>
      </c>
      <c r="C302" s="4" t="s">
        <v>685</v>
      </c>
      <c r="D302" s="4" t="s">
        <v>111</v>
      </c>
      <c r="E302" s="3" t="s">
        <v>660</v>
      </c>
      <c r="F302" s="4" t="s">
        <v>222</v>
      </c>
      <c r="G302" s="11">
        <f t="shared" ref="G302:I303" si="65">G303</f>
        <v>0</v>
      </c>
      <c r="H302" s="11">
        <f t="shared" si="65"/>
        <v>0</v>
      </c>
      <c r="I302" s="11">
        <f t="shared" si="65"/>
        <v>0</v>
      </c>
    </row>
    <row r="303" spans="1:10" ht="30" hidden="1" x14ac:dyDescent="0.25">
      <c r="A303" s="255" t="s">
        <v>676</v>
      </c>
      <c r="B303" s="17">
        <v>951</v>
      </c>
      <c r="C303" s="6" t="s">
        <v>685</v>
      </c>
      <c r="D303" s="6" t="s">
        <v>111</v>
      </c>
      <c r="E303" s="17" t="s">
        <v>660</v>
      </c>
      <c r="F303" s="6" t="s">
        <v>677</v>
      </c>
      <c r="G303" s="11">
        <f t="shared" si="65"/>
        <v>0</v>
      </c>
      <c r="H303" s="13">
        <f t="shared" si="65"/>
        <v>0</v>
      </c>
      <c r="I303" s="13">
        <f t="shared" si="65"/>
        <v>0</v>
      </c>
    </row>
    <row r="304" spans="1:10" ht="45" hidden="1" x14ac:dyDescent="0.25">
      <c r="A304" s="255" t="s">
        <v>678</v>
      </c>
      <c r="B304" s="17">
        <v>951</v>
      </c>
      <c r="C304" s="6" t="s">
        <v>685</v>
      </c>
      <c r="D304" s="6" t="s">
        <v>111</v>
      </c>
      <c r="E304" s="17" t="s">
        <v>660</v>
      </c>
      <c r="F304" s="6" t="s">
        <v>679</v>
      </c>
      <c r="G304" s="11">
        <f>'5'!D279</f>
        <v>0</v>
      </c>
      <c r="H304" s="13">
        <f>'5'!E279</f>
        <v>0</v>
      </c>
      <c r="I304" s="13">
        <f>'5'!F279</f>
        <v>0</v>
      </c>
    </row>
    <row r="305" spans="1:9" ht="16.149999999999999" customHeight="1" x14ac:dyDescent="0.25">
      <c r="A305" s="255" t="s">
        <v>213</v>
      </c>
      <c r="B305" s="17">
        <v>951</v>
      </c>
      <c r="C305" s="6" t="s">
        <v>685</v>
      </c>
      <c r="D305" s="6" t="s">
        <v>111</v>
      </c>
      <c r="E305" s="6" t="s">
        <v>19</v>
      </c>
      <c r="F305" s="6" t="s">
        <v>222</v>
      </c>
      <c r="G305" s="11">
        <f>G306+G308</f>
        <v>350</v>
      </c>
      <c r="H305" s="13">
        <f>H306+H308</f>
        <v>350</v>
      </c>
      <c r="I305" s="13">
        <f>I306+I308</f>
        <v>350</v>
      </c>
    </row>
    <row r="306" spans="1:9" ht="30" x14ac:dyDescent="0.25">
      <c r="A306" s="255" t="s">
        <v>676</v>
      </c>
      <c r="B306" s="17">
        <v>951</v>
      </c>
      <c r="C306" s="6" t="s">
        <v>685</v>
      </c>
      <c r="D306" s="6" t="s">
        <v>111</v>
      </c>
      <c r="E306" s="6" t="s">
        <v>19</v>
      </c>
      <c r="F306" s="6" t="s">
        <v>677</v>
      </c>
      <c r="G306" s="11">
        <f>G307</f>
        <v>350</v>
      </c>
      <c r="H306" s="13">
        <f>H307</f>
        <v>350</v>
      </c>
      <c r="I306" s="13">
        <f>I307</f>
        <v>350</v>
      </c>
    </row>
    <row r="307" spans="1:9" ht="43.9" customHeight="1" x14ac:dyDescent="0.25">
      <c r="A307" s="255" t="s">
        <v>678</v>
      </c>
      <c r="B307" s="17">
        <v>951</v>
      </c>
      <c r="C307" s="6" t="s">
        <v>685</v>
      </c>
      <c r="D307" s="6" t="s">
        <v>111</v>
      </c>
      <c r="E307" s="6" t="s">
        <v>19</v>
      </c>
      <c r="F307" s="6" t="s">
        <v>679</v>
      </c>
      <c r="G307" s="11">
        <f>'5'!D280</f>
        <v>350</v>
      </c>
      <c r="H307" s="11">
        <f>'5'!E280</f>
        <v>350</v>
      </c>
      <c r="I307" s="11">
        <f>'5'!F280</f>
        <v>350</v>
      </c>
    </row>
    <row r="308" spans="1:9" ht="45" hidden="1" x14ac:dyDescent="0.25">
      <c r="A308" s="255" t="s">
        <v>729</v>
      </c>
      <c r="B308" s="17" t="s">
        <v>117</v>
      </c>
      <c r="C308" s="6" t="s">
        <v>685</v>
      </c>
      <c r="D308" s="6" t="s">
        <v>111</v>
      </c>
      <c r="E308" s="6" t="s">
        <v>19</v>
      </c>
      <c r="F308" s="6" t="s">
        <v>730</v>
      </c>
      <c r="G308" s="13">
        <f>G309</f>
        <v>0</v>
      </c>
      <c r="H308" s="13">
        <f>H309</f>
        <v>0</v>
      </c>
      <c r="I308" s="13">
        <f>I309</f>
        <v>0</v>
      </c>
    </row>
    <row r="309" spans="1:9" hidden="1" x14ac:dyDescent="0.25">
      <c r="A309" s="255" t="s">
        <v>731</v>
      </c>
      <c r="B309" s="17" t="s">
        <v>117</v>
      </c>
      <c r="C309" s="6" t="s">
        <v>685</v>
      </c>
      <c r="D309" s="6" t="s">
        <v>111</v>
      </c>
      <c r="E309" s="6" t="s">
        <v>19</v>
      </c>
      <c r="F309" s="6" t="s">
        <v>732</v>
      </c>
      <c r="G309" s="13"/>
      <c r="H309" s="13"/>
      <c r="I309" s="13"/>
    </row>
    <row r="310" spans="1:9" ht="30" x14ac:dyDescent="0.25">
      <c r="A310" s="301" t="s">
        <v>781</v>
      </c>
      <c r="B310" s="179">
        <v>951</v>
      </c>
      <c r="C310" s="180" t="s">
        <v>685</v>
      </c>
      <c r="D310" s="180" t="s">
        <v>685</v>
      </c>
      <c r="E310" s="180" t="s">
        <v>666</v>
      </c>
      <c r="F310" s="180" t="s">
        <v>222</v>
      </c>
      <c r="G310" s="181">
        <f t="shared" ref="G310:I311" si="66">G311</f>
        <v>2.31474</v>
      </c>
      <c r="H310" s="181">
        <f t="shared" si="66"/>
        <v>2.4073199999999999</v>
      </c>
      <c r="I310" s="181">
        <f t="shared" si="66"/>
        <v>2.5036200000000002</v>
      </c>
    </row>
    <row r="311" spans="1:9" ht="30" x14ac:dyDescent="0.25">
      <c r="A311" s="255" t="s">
        <v>669</v>
      </c>
      <c r="B311" s="17">
        <v>951</v>
      </c>
      <c r="C311" s="6" t="s">
        <v>685</v>
      </c>
      <c r="D311" s="6" t="s">
        <v>685</v>
      </c>
      <c r="E311" s="6" t="s">
        <v>5</v>
      </c>
      <c r="F311" s="6" t="s">
        <v>222</v>
      </c>
      <c r="G311" s="13">
        <f t="shared" si="66"/>
        <v>2.31474</v>
      </c>
      <c r="H311" s="13">
        <f t="shared" si="66"/>
        <v>2.4073199999999999</v>
      </c>
      <c r="I311" s="13">
        <f t="shared" si="66"/>
        <v>2.5036200000000002</v>
      </c>
    </row>
    <row r="312" spans="1:9" ht="45" x14ac:dyDescent="0.25">
      <c r="A312" s="255" t="s">
        <v>110</v>
      </c>
      <c r="B312" s="17">
        <v>951</v>
      </c>
      <c r="C312" s="6" t="s">
        <v>685</v>
      </c>
      <c r="D312" s="6" t="s">
        <v>685</v>
      </c>
      <c r="E312" s="6" t="s">
        <v>6</v>
      </c>
      <c r="F312" s="6" t="s">
        <v>222</v>
      </c>
      <c r="G312" s="13">
        <f>G313+G318</f>
        <v>2.31474</v>
      </c>
      <c r="H312" s="13">
        <f>H313+H318</f>
        <v>2.4073199999999999</v>
      </c>
      <c r="I312" s="13">
        <f>I313+I318</f>
        <v>2.5036200000000002</v>
      </c>
    </row>
    <row r="313" spans="1:9" ht="45" hidden="1" x14ac:dyDescent="0.25">
      <c r="A313" s="255" t="s">
        <v>782</v>
      </c>
      <c r="B313" s="17">
        <v>951</v>
      </c>
      <c r="C313" s="6" t="s">
        <v>685</v>
      </c>
      <c r="D313" s="6" t="s">
        <v>685</v>
      </c>
      <c r="E313" s="6" t="s">
        <v>9</v>
      </c>
      <c r="F313" s="6" t="s">
        <v>222</v>
      </c>
      <c r="G313" s="13">
        <f>G314+G316</f>
        <v>0</v>
      </c>
      <c r="H313" s="13">
        <f>H314+H316</f>
        <v>0</v>
      </c>
      <c r="I313" s="13">
        <f>I314+I316</f>
        <v>0</v>
      </c>
    </row>
    <row r="314" spans="1:9" ht="72" hidden="1" customHeight="1" x14ac:dyDescent="0.25">
      <c r="A314" s="255" t="s">
        <v>670</v>
      </c>
      <c r="B314" s="17">
        <v>951</v>
      </c>
      <c r="C314" s="6" t="s">
        <v>685</v>
      </c>
      <c r="D314" s="6" t="s">
        <v>685</v>
      </c>
      <c r="E314" s="6" t="s">
        <v>9</v>
      </c>
      <c r="F314" s="6" t="s">
        <v>671</v>
      </c>
      <c r="G314" s="13">
        <f>G315</f>
        <v>0</v>
      </c>
      <c r="H314" s="13">
        <f>H315</f>
        <v>0</v>
      </c>
      <c r="I314" s="13">
        <f>I315</f>
        <v>0</v>
      </c>
    </row>
    <row r="315" spans="1:9" ht="30" hidden="1" x14ac:dyDescent="0.25">
      <c r="A315" s="255" t="s">
        <v>672</v>
      </c>
      <c r="B315" s="17">
        <v>951</v>
      </c>
      <c r="C315" s="6" t="s">
        <v>685</v>
      </c>
      <c r="D315" s="6" t="s">
        <v>685</v>
      </c>
      <c r="E315" s="6" t="s">
        <v>9</v>
      </c>
      <c r="F315" s="6" t="s">
        <v>673</v>
      </c>
      <c r="G315" s="16">
        <v>0</v>
      </c>
      <c r="H315" s="16">
        <v>0</v>
      </c>
      <c r="I315" s="16">
        <v>0</v>
      </c>
    </row>
    <row r="316" spans="1:9" ht="30" hidden="1" x14ac:dyDescent="0.25">
      <c r="A316" s="255" t="s">
        <v>676</v>
      </c>
      <c r="B316" s="17">
        <v>951</v>
      </c>
      <c r="C316" s="6" t="s">
        <v>685</v>
      </c>
      <c r="D316" s="6" t="s">
        <v>685</v>
      </c>
      <c r="E316" s="6" t="s">
        <v>9</v>
      </c>
      <c r="F316" s="6" t="s">
        <v>677</v>
      </c>
      <c r="G316" s="13">
        <f>G317</f>
        <v>0</v>
      </c>
      <c r="H316" s="13">
        <f>H317</f>
        <v>0</v>
      </c>
      <c r="I316" s="13">
        <f>I317</f>
        <v>0</v>
      </c>
    </row>
    <row r="317" spans="1:9" ht="45" hidden="1" x14ac:dyDescent="0.25">
      <c r="A317" s="255" t="s">
        <v>678</v>
      </c>
      <c r="B317" s="17">
        <v>951</v>
      </c>
      <c r="C317" s="6" t="s">
        <v>685</v>
      </c>
      <c r="D317" s="6" t="s">
        <v>685</v>
      </c>
      <c r="E317" s="6" t="s">
        <v>9</v>
      </c>
      <c r="F317" s="6" t="s">
        <v>679</v>
      </c>
      <c r="G317" s="16">
        <v>0</v>
      </c>
      <c r="H317" s="16">
        <v>0</v>
      </c>
      <c r="I317" s="16">
        <v>0</v>
      </c>
    </row>
    <row r="318" spans="1:9" ht="75" x14ac:dyDescent="0.25">
      <c r="A318" s="255" t="s">
        <v>783</v>
      </c>
      <c r="B318" s="17" t="s">
        <v>117</v>
      </c>
      <c r="C318" s="6" t="s">
        <v>685</v>
      </c>
      <c r="D318" s="6" t="s">
        <v>685</v>
      </c>
      <c r="E318" s="6" t="s">
        <v>20</v>
      </c>
      <c r="F318" s="6" t="s">
        <v>222</v>
      </c>
      <c r="G318" s="13">
        <f t="shared" ref="G318:I319" si="67">G319</f>
        <v>2.31474</v>
      </c>
      <c r="H318" s="13">
        <f t="shared" si="67"/>
        <v>2.4073199999999999</v>
      </c>
      <c r="I318" s="13">
        <f t="shared" si="67"/>
        <v>2.5036200000000002</v>
      </c>
    </row>
    <row r="319" spans="1:9" ht="83.65" customHeight="1" x14ac:dyDescent="0.25">
      <c r="A319" s="255" t="s">
        <v>784</v>
      </c>
      <c r="B319" s="17" t="s">
        <v>117</v>
      </c>
      <c r="C319" s="6" t="s">
        <v>685</v>
      </c>
      <c r="D319" s="6" t="s">
        <v>685</v>
      </c>
      <c r="E319" s="6" t="s">
        <v>20</v>
      </c>
      <c r="F319" s="6" t="s">
        <v>671</v>
      </c>
      <c r="G319" s="13">
        <f t="shared" si="67"/>
        <v>2.31474</v>
      </c>
      <c r="H319" s="13">
        <f t="shared" si="67"/>
        <v>2.4073199999999999</v>
      </c>
      <c r="I319" s="13">
        <f t="shared" si="67"/>
        <v>2.5036200000000002</v>
      </c>
    </row>
    <row r="320" spans="1:9" ht="30" x14ac:dyDescent="0.25">
      <c r="A320" s="255" t="s">
        <v>672</v>
      </c>
      <c r="B320" s="17" t="s">
        <v>117</v>
      </c>
      <c r="C320" s="6" t="s">
        <v>685</v>
      </c>
      <c r="D320" s="6" t="s">
        <v>685</v>
      </c>
      <c r="E320" s="6" t="s">
        <v>20</v>
      </c>
      <c r="F320" s="6" t="s">
        <v>673</v>
      </c>
      <c r="G320" s="13">
        <f>'5'!D316</f>
        <v>2.31474</v>
      </c>
      <c r="H320" s="13">
        <f>'5'!E316</f>
        <v>2.4073199999999999</v>
      </c>
      <c r="I320" s="13">
        <f>'5'!F316</f>
        <v>2.5036200000000002</v>
      </c>
    </row>
    <row r="321" spans="1:10" ht="30" hidden="1" x14ac:dyDescent="0.25">
      <c r="A321" s="255" t="s">
        <v>676</v>
      </c>
      <c r="B321" s="17" t="s">
        <v>341</v>
      </c>
      <c r="C321" s="6" t="s">
        <v>685</v>
      </c>
      <c r="D321" s="6" t="s">
        <v>685</v>
      </c>
      <c r="E321" s="6" t="s">
        <v>20</v>
      </c>
      <c r="F321" s="6" t="s">
        <v>677</v>
      </c>
      <c r="G321" s="13">
        <f>G322</f>
        <v>0</v>
      </c>
      <c r="H321" s="13">
        <f>H322</f>
        <v>0</v>
      </c>
      <c r="I321" s="13">
        <f>I322</f>
        <v>0</v>
      </c>
    </row>
    <row r="322" spans="1:10" ht="45" hidden="1" x14ac:dyDescent="0.25">
      <c r="A322" s="255" t="s">
        <v>678</v>
      </c>
      <c r="B322" s="17" t="s">
        <v>938</v>
      </c>
      <c r="C322" s="6" t="s">
        <v>685</v>
      </c>
      <c r="D322" s="6" t="s">
        <v>685</v>
      </c>
      <c r="E322" s="6" t="s">
        <v>20</v>
      </c>
      <c r="F322" s="6" t="s">
        <v>679</v>
      </c>
      <c r="G322" s="13"/>
      <c r="H322" s="13"/>
      <c r="I322" s="13"/>
    </row>
    <row r="323" spans="1:10" x14ac:dyDescent="0.25">
      <c r="A323" s="303" t="s">
        <v>785</v>
      </c>
      <c r="B323" s="185" t="s">
        <v>117</v>
      </c>
      <c r="C323" s="184" t="s">
        <v>687</v>
      </c>
      <c r="D323" s="184" t="s">
        <v>109</v>
      </c>
      <c r="E323" s="184" t="s">
        <v>666</v>
      </c>
      <c r="F323" s="184" t="s">
        <v>222</v>
      </c>
      <c r="G323" s="178">
        <f t="shared" ref="G323:I328" si="68">G324</f>
        <v>780</v>
      </c>
      <c r="H323" s="178">
        <f t="shared" si="68"/>
        <v>940</v>
      </c>
      <c r="I323" s="178">
        <f t="shared" si="68"/>
        <v>940</v>
      </c>
    </row>
    <row r="324" spans="1:10" ht="30" x14ac:dyDescent="0.25">
      <c r="A324" s="301" t="s">
        <v>786</v>
      </c>
      <c r="B324" s="179" t="s">
        <v>117</v>
      </c>
      <c r="C324" s="180" t="s">
        <v>687</v>
      </c>
      <c r="D324" s="180" t="s">
        <v>685</v>
      </c>
      <c r="E324" s="180" t="s">
        <v>666</v>
      </c>
      <c r="F324" s="180" t="s">
        <v>222</v>
      </c>
      <c r="G324" s="181">
        <f>G325</f>
        <v>780</v>
      </c>
      <c r="H324" s="181">
        <f t="shared" si="68"/>
        <v>940</v>
      </c>
      <c r="I324" s="181">
        <f t="shared" si="68"/>
        <v>940</v>
      </c>
    </row>
    <row r="325" spans="1:10" ht="30" x14ac:dyDescent="0.25">
      <c r="A325" s="254" t="s">
        <v>669</v>
      </c>
      <c r="B325" s="3" t="s">
        <v>117</v>
      </c>
      <c r="C325" s="4" t="s">
        <v>687</v>
      </c>
      <c r="D325" s="4" t="s">
        <v>685</v>
      </c>
      <c r="E325" s="4" t="s">
        <v>5</v>
      </c>
      <c r="F325" s="4" t="s">
        <v>222</v>
      </c>
      <c r="G325" s="11">
        <f>G326</f>
        <v>780</v>
      </c>
      <c r="H325" s="11">
        <f t="shared" si="68"/>
        <v>940</v>
      </c>
      <c r="I325" s="11">
        <f t="shared" si="68"/>
        <v>940</v>
      </c>
    </row>
    <row r="326" spans="1:10" ht="45" x14ac:dyDescent="0.25">
      <c r="A326" s="254" t="s">
        <v>110</v>
      </c>
      <c r="B326" s="3" t="s">
        <v>117</v>
      </c>
      <c r="C326" s="4" t="s">
        <v>687</v>
      </c>
      <c r="D326" s="4" t="s">
        <v>685</v>
      </c>
      <c r="E326" s="4" t="s">
        <v>6</v>
      </c>
      <c r="F326" s="4" t="s">
        <v>222</v>
      </c>
      <c r="G326" s="11">
        <f>G329+G332</f>
        <v>780</v>
      </c>
      <c r="H326" s="11">
        <f t="shared" si="68"/>
        <v>940</v>
      </c>
      <c r="I326" s="11">
        <f t="shared" si="68"/>
        <v>940</v>
      </c>
    </row>
    <row r="327" spans="1:10" ht="30" x14ac:dyDescent="0.25">
      <c r="A327" s="254" t="s">
        <v>787</v>
      </c>
      <c r="B327" s="3" t="s">
        <v>117</v>
      </c>
      <c r="C327" s="4" t="s">
        <v>687</v>
      </c>
      <c r="D327" s="4" t="s">
        <v>685</v>
      </c>
      <c r="E327" s="4" t="s">
        <v>588</v>
      </c>
      <c r="F327" s="4" t="s">
        <v>222</v>
      </c>
      <c r="G327" s="11">
        <f>G328</f>
        <v>275.39</v>
      </c>
      <c r="H327" s="11">
        <f t="shared" si="68"/>
        <v>940</v>
      </c>
      <c r="I327" s="11">
        <f t="shared" si="68"/>
        <v>940</v>
      </c>
    </row>
    <row r="328" spans="1:10" ht="30" x14ac:dyDescent="0.25">
      <c r="A328" s="254" t="s">
        <v>676</v>
      </c>
      <c r="B328" s="3" t="s">
        <v>117</v>
      </c>
      <c r="C328" s="4" t="s">
        <v>687</v>
      </c>
      <c r="D328" s="4" t="s">
        <v>685</v>
      </c>
      <c r="E328" s="4" t="s">
        <v>588</v>
      </c>
      <c r="F328" s="4" t="s">
        <v>677</v>
      </c>
      <c r="G328" s="11">
        <f>G329</f>
        <v>275.39</v>
      </c>
      <c r="H328" s="11">
        <f t="shared" si="68"/>
        <v>940</v>
      </c>
      <c r="I328" s="11">
        <f t="shared" si="68"/>
        <v>940</v>
      </c>
    </row>
    <row r="329" spans="1:10" ht="45" x14ac:dyDescent="0.25">
      <c r="A329" s="254" t="s">
        <v>678</v>
      </c>
      <c r="B329" s="3" t="s">
        <v>117</v>
      </c>
      <c r="C329" s="4" t="s">
        <v>687</v>
      </c>
      <c r="D329" s="4" t="s">
        <v>685</v>
      </c>
      <c r="E329" s="4" t="s">
        <v>588</v>
      </c>
      <c r="F329" s="4" t="s">
        <v>679</v>
      </c>
      <c r="G329" s="11">
        <v>275.39</v>
      </c>
      <c r="H329" s="11">
        <f>'5'!E304</f>
        <v>940</v>
      </c>
      <c r="I329" s="11">
        <f>'5'!F304</f>
        <v>940</v>
      </c>
    </row>
    <row r="330" spans="1:10" ht="30" x14ac:dyDescent="0.25">
      <c r="A330" s="2" t="s">
        <v>787</v>
      </c>
      <c r="B330" s="3" t="s">
        <v>117</v>
      </c>
      <c r="C330" s="4" t="s">
        <v>687</v>
      </c>
      <c r="D330" s="4" t="s">
        <v>685</v>
      </c>
      <c r="E330" s="4" t="s">
        <v>1127</v>
      </c>
      <c r="F330" s="4" t="s">
        <v>222</v>
      </c>
      <c r="G330" s="11">
        <f>G331</f>
        <v>504.61</v>
      </c>
      <c r="H330" s="11">
        <v>0</v>
      </c>
      <c r="I330" s="11">
        <v>0</v>
      </c>
    </row>
    <row r="331" spans="1:10" x14ac:dyDescent="0.25">
      <c r="A331" s="2" t="s">
        <v>743</v>
      </c>
      <c r="B331" s="3" t="s">
        <v>117</v>
      </c>
      <c r="C331" s="4" t="s">
        <v>687</v>
      </c>
      <c r="D331" s="4" t="s">
        <v>685</v>
      </c>
      <c r="E331" s="4" t="s">
        <v>1127</v>
      </c>
      <c r="F331" s="4" t="s">
        <v>744</v>
      </c>
      <c r="G331" s="11">
        <f>G332</f>
        <v>504.61</v>
      </c>
      <c r="H331" s="11">
        <v>0</v>
      </c>
      <c r="I331" s="11">
        <v>0</v>
      </c>
    </row>
    <row r="332" spans="1:10" ht="21.75" customHeight="1" x14ac:dyDescent="0.25">
      <c r="A332" s="2" t="s">
        <v>175</v>
      </c>
      <c r="B332" s="3" t="s">
        <v>117</v>
      </c>
      <c r="C332" s="4" t="s">
        <v>687</v>
      </c>
      <c r="D332" s="4" t="s">
        <v>685</v>
      </c>
      <c r="E332" s="4" t="s">
        <v>1127</v>
      </c>
      <c r="F332" s="4" t="s">
        <v>761</v>
      </c>
      <c r="G332" s="11">
        <v>504.61</v>
      </c>
      <c r="H332" s="11">
        <v>0</v>
      </c>
      <c r="I332" s="11">
        <v>0</v>
      </c>
    </row>
    <row r="333" spans="1:10" x14ac:dyDescent="0.25">
      <c r="A333" s="303" t="s">
        <v>788</v>
      </c>
      <c r="B333" s="185">
        <v>951</v>
      </c>
      <c r="C333" s="185" t="s">
        <v>211</v>
      </c>
      <c r="D333" s="185" t="s">
        <v>109</v>
      </c>
      <c r="E333" s="185" t="s">
        <v>666</v>
      </c>
      <c r="F333" s="185" t="s">
        <v>222</v>
      </c>
      <c r="G333" s="178">
        <f>G345+G376+G372</f>
        <v>21439.972429999998</v>
      </c>
      <c r="H333" s="178">
        <f t="shared" ref="H333:J333" si="69">H345+H376+H372</f>
        <v>16858.301009999999</v>
      </c>
      <c r="I333" s="178">
        <f t="shared" si="69"/>
        <v>16908.301009999999</v>
      </c>
      <c r="J333" s="178">
        <f t="shared" si="69"/>
        <v>0</v>
      </c>
    </row>
    <row r="334" spans="1:10" hidden="1" x14ac:dyDescent="0.25">
      <c r="A334" s="255" t="s">
        <v>939</v>
      </c>
      <c r="B334" s="17">
        <v>951</v>
      </c>
      <c r="C334" s="6" t="s">
        <v>211</v>
      </c>
      <c r="D334" s="6" t="s">
        <v>668</v>
      </c>
      <c r="E334" s="17" t="s">
        <v>666</v>
      </c>
      <c r="F334" s="17" t="s">
        <v>222</v>
      </c>
      <c r="G334" s="13">
        <f>G335</f>
        <v>0</v>
      </c>
      <c r="H334" s="13">
        <f>H335</f>
        <v>0</v>
      </c>
      <c r="I334" s="13">
        <f>I335</f>
        <v>0</v>
      </c>
    </row>
    <row r="335" spans="1:10" ht="30" hidden="1" x14ac:dyDescent="0.25">
      <c r="A335" s="274" t="s">
        <v>805</v>
      </c>
      <c r="B335" s="17">
        <v>951</v>
      </c>
      <c r="C335" s="6" t="s">
        <v>211</v>
      </c>
      <c r="D335" s="6" t="s">
        <v>668</v>
      </c>
      <c r="E335" s="6" t="s">
        <v>42</v>
      </c>
      <c r="F335" s="6" t="s">
        <v>222</v>
      </c>
      <c r="G335" s="13">
        <f>G336+G339</f>
        <v>0</v>
      </c>
      <c r="H335" s="13">
        <f>H336+H339</f>
        <v>0</v>
      </c>
      <c r="I335" s="13">
        <f>I336+I339</f>
        <v>0</v>
      </c>
    </row>
    <row r="336" spans="1:10" ht="30" hidden="1" x14ac:dyDescent="0.25">
      <c r="A336" s="255" t="s">
        <v>810</v>
      </c>
      <c r="B336" s="17" t="s">
        <v>117</v>
      </c>
      <c r="C336" s="6" t="s">
        <v>211</v>
      </c>
      <c r="D336" s="6" t="s">
        <v>668</v>
      </c>
      <c r="E336" s="6" t="s">
        <v>807</v>
      </c>
      <c r="F336" s="6" t="s">
        <v>222</v>
      </c>
      <c r="G336" s="13">
        <f t="shared" ref="G336:I337" si="70">G337</f>
        <v>0</v>
      </c>
      <c r="H336" s="13">
        <f t="shared" si="70"/>
        <v>0</v>
      </c>
      <c r="I336" s="13">
        <f t="shared" si="70"/>
        <v>0</v>
      </c>
    </row>
    <row r="337" spans="1:9" ht="45" hidden="1" x14ac:dyDescent="0.25">
      <c r="A337" s="255" t="s">
        <v>715</v>
      </c>
      <c r="B337" s="17" t="s">
        <v>117</v>
      </c>
      <c r="C337" s="6" t="s">
        <v>211</v>
      </c>
      <c r="D337" s="6" t="s">
        <v>668</v>
      </c>
      <c r="E337" s="6" t="s">
        <v>807</v>
      </c>
      <c r="F337" s="6" t="s">
        <v>714</v>
      </c>
      <c r="G337" s="13">
        <f t="shared" si="70"/>
        <v>0</v>
      </c>
      <c r="H337" s="13">
        <f t="shared" si="70"/>
        <v>0</v>
      </c>
      <c r="I337" s="13">
        <f t="shared" si="70"/>
        <v>0</v>
      </c>
    </row>
    <row r="338" spans="1:9" hidden="1" x14ac:dyDescent="0.25">
      <c r="A338" s="255" t="s">
        <v>124</v>
      </c>
      <c r="B338" s="17" t="s">
        <v>117</v>
      </c>
      <c r="C338" s="6" t="s">
        <v>211</v>
      </c>
      <c r="D338" s="6" t="s">
        <v>668</v>
      </c>
      <c r="E338" s="6" t="s">
        <v>45</v>
      </c>
      <c r="F338" s="6" t="s">
        <v>165</v>
      </c>
      <c r="G338" s="13"/>
      <c r="H338" s="13"/>
      <c r="I338" s="13"/>
    </row>
    <row r="339" spans="1:9" ht="30" hidden="1" x14ac:dyDescent="0.25">
      <c r="A339" s="255" t="s">
        <v>811</v>
      </c>
      <c r="B339" s="17" t="s">
        <v>117</v>
      </c>
      <c r="C339" s="6" t="s">
        <v>211</v>
      </c>
      <c r="D339" s="6" t="s">
        <v>668</v>
      </c>
      <c r="E339" s="6" t="s">
        <v>807</v>
      </c>
      <c r="F339" s="6" t="s">
        <v>222</v>
      </c>
      <c r="G339" s="13">
        <f t="shared" ref="G339:I340" si="71">G340</f>
        <v>0</v>
      </c>
      <c r="H339" s="13">
        <f t="shared" si="71"/>
        <v>0</v>
      </c>
      <c r="I339" s="13">
        <f t="shared" si="71"/>
        <v>0</v>
      </c>
    </row>
    <row r="340" spans="1:9" ht="45" hidden="1" x14ac:dyDescent="0.25">
      <c r="A340" s="255" t="s">
        <v>715</v>
      </c>
      <c r="B340" s="17" t="s">
        <v>117</v>
      </c>
      <c r="C340" s="6" t="s">
        <v>211</v>
      </c>
      <c r="D340" s="6" t="s">
        <v>668</v>
      </c>
      <c r="E340" s="6" t="s">
        <v>807</v>
      </c>
      <c r="F340" s="6" t="s">
        <v>714</v>
      </c>
      <c r="G340" s="13">
        <f t="shared" si="71"/>
        <v>0</v>
      </c>
      <c r="H340" s="13">
        <f t="shared" si="71"/>
        <v>0</v>
      </c>
      <c r="I340" s="13">
        <f t="shared" si="71"/>
        <v>0</v>
      </c>
    </row>
    <row r="341" spans="1:9" hidden="1" x14ac:dyDescent="0.25">
      <c r="A341" s="255" t="s">
        <v>124</v>
      </c>
      <c r="B341" s="17">
        <v>951</v>
      </c>
      <c r="C341" s="6" t="s">
        <v>211</v>
      </c>
      <c r="D341" s="6" t="s">
        <v>668</v>
      </c>
      <c r="E341" s="6" t="s">
        <v>46</v>
      </c>
      <c r="F341" s="6" t="s">
        <v>165</v>
      </c>
      <c r="G341" s="13"/>
      <c r="H341" s="13"/>
      <c r="I341" s="13"/>
    </row>
    <row r="342" spans="1:9" ht="60" hidden="1" x14ac:dyDescent="0.25">
      <c r="A342" s="277" t="s">
        <v>940</v>
      </c>
      <c r="B342" s="17" t="s">
        <v>117</v>
      </c>
      <c r="C342" s="6" t="s">
        <v>211</v>
      </c>
      <c r="D342" s="6" t="s">
        <v>211</v>
      </c>
      <c r="E342" s="6" t="s">
        <v>253</v>
      </c>
      <c r="F342" s="6" t="s">
        <v>222</v>
      </c>
      <c r="G342" s="13">
        <f t="shared" ref="G342:I343" si="72">G343</f>
        <v>0</v>
      </c>
      <c r="H342" s="13">
        <f t="shared" si="72"/>
        <v>0</v>
      </c>
      <c r="I342" s="13">
        <f t="shared" si="72"/>
        <v>0</v>
      </c>
    </row>
    <row r="343" spans="1:9" ht="30" hidden="1" x14ac:dyDescent="0.25">
      <c r="A343" s="255" t="s">
        <v>676</v>
      </c>
      <c r="B343" s="17" t="s">
        <v>117</v>
      </c>
      <c r="C343" s="6" t="s">
        <v>211</v>
      </c>
      <c r="D343" s="6" t="s">
        <v>211</v>
      </c>
      <c r="E343" s="6" t="s">
        <v>941</v>
      </c>
      <c r="F343" s="6" t="s">
        <v>677</v>
      </c>
      <c r="G343" s="13">
        <f t="shared" si="72"/>
        <v>0</v>
      </c>
      <c r="H343" s="13">
        <f t="shared" si="72"/>
        <v>0</v>
      </c>
      <c r="I343" s="13">
        <f t="shared" si="72"/>
        <v>0</v>
      </c>
    </row>
    <row r="344" spans="1:9" ht="45" hidden="1" x14ac:dyDescent="0.25">
      <c r="A344" s="255" t="s">
        <v>678</v>
      </c>
      <c r="B344" s="17" t="s">
        <v>117</v>
      </c>
      <c r="C344" s="6" t="s">
        <v>211</v>
      </c>
      <c r="D344" s="6" t="s">
        <v>211</v>
      </c>
      <c r="E344" s="6" t="s">
        <v>941</v>
      </c>
      <c r="F344" s="6" t="s">
        <v>679</v>
      </c>
      <c r="G344" s="13"/>
      <c r="H344" s="13"/>
      <c r="I344" s="13"/>
    </row>
    <row r="345" spans="1:9" ht="18.75" customHeight="1" x14ac:dyDescent="0.25">
      <c r="A345" s="301" t="s">
        <v>815</v>
      </c>
      <c r="B345" s="179" t="s">
        <v>117</v>
      </c>
      <c r="C345" s="180" t="s">
        <v>211</v>
      </c>
      <c r="D345" s="180" t="s">
        <v>111</v>
      </c>
      <c r="E345" s="180" t="s">
        <v>666</v>
      </c>
      <c r="F345" s="180" t="s">
        <v>222</v>
      </c>
      <c r="G345" s="181">
        <f>G346+G357+G361+G367+G369</f>
        <v>21238.972429999998</v>
      </c>
      <c r="H345" s="181">
        <f>H346+H357+H361+H367+H369</f>
        <v>16697.301009999999</v>
      </c>
      <c r="I345" s="181">
        <f>I346+I357+I361+I367+I369</f>
        <v>16697.301009999999</v>
      </c>
    </row>
    <row r="346" spans="1:9" ht="48.75" customHeight="1" x14ac:dyDescent="0.25">
      <c r="A346" s="277" t="s">
        <v>556</v>
      </c>
      <c r="B346" s="42" t="s">
        <v>117</v>
      </c>
      <c r="C346" s="18" t="s">
        <v>211</v>
      </c>
      <c r="D346" s="18" t="s">
        <v>111</v>
      </c>
      <c r="E346" s="18" t="s">
        <v>666</v>
      </c>
      <c r="F346" s="18" t="s">
        <v>222</v>
      </c>
      <c r="G346" s="15">
        <f>G347</f>
        <v>19361.962680000001</v>
      </c>
      <c r="H346" s="15">
        <f>H347</f>
        <v>15687.2</v>
      </c>
      <c r="I346" s="15">
        <f>I347</f>
        <v>15687.2</v>
      </c>
    </row>
    <row r="347" spans="1:9" ht="57" customHeight="1" x14ac:dyDescent="0.25">
      <c r="A347" s="274" t="s">
        <v>487</v>
      </c>
      <c r="B347" s="17" t="s">
        <v>117</v>
      </c>
      <c r="C347" s="6" t="s">
        <v>211</v>
      </c>
      <c r="D347" s="6" t="s">
        <v>111</v>
      </c>
      <c r="E347" s="6" t="s">
        <v>58</v>
      </c>
      <c r="F347" s="6" t="s">
        <v>222</v>
      </c>
      <c r="G347" s="13">
        <f>G348+G351+G354</f>
        <v>19361.962680000001</v>
      </c>
      <c r="H347" s="13">
        <f>H348+H351+H354</f>
        <v>15687.2</v>
      </c>
      <c r="I347" s="13">
        <f>I348+I351+I354</f>
        <v>15687.2</v>
      </c>
    </row>
    <row r="348" spans="1:9" ht="30" hidden="1" x14ac:dyDescent="0.25">
      <c r="A348" s="255" t="s">
        <v>449</v>
      </c>
      <c r="B348" s="17" t="s">
        <v>117</v>
      </c>
      <c r="C348" s="6" t="s">
        <v>211</v>
      </c>
      <c r="D348" s="6" t="s">
        <v>111</v>
      </c>
      <c r="E348" s="6" t="s">
        <v>58</v>
      </c>
      <c r="F348" s="6" t="s">
        <v>222</v>
      </c>
      <c r="G348" s="13">
        <f t="shared" ref="G348:I349" si="73">G349</f>
        <v>0</v>
      </c>
      <c r="H348" s="13">
        <f t="shared" si="73"/>
        <v>0</v>
      </c>
      <c r="I348" s="13">
        <f t="shared" si="73"/>
        <v>0</v>
      </c>
    </row>
    <row r="349" spans="1:9" ht="45" hidden="1" x14ac:dyDescent="0.25">
      <c r="A349" s="255" t="s">
        <v>715</v>
      </c>
      <c r="B349" s="17" t="s">
        <v>117</v>
      </c>
      <c r="C349" s="6" t="s">
        <v>211</v>
      </c>
      <c r="D349" s="6" t="s">
        <v>111</v>
      </c>
      <c r="E349" s="6" t="s">
        <v>58</v>
      </c>
      <c r="F349" s="6" t="s">
        <v>714</v>
      </c>
      <c r="G349" s="13">
        <f t="shared" si="73"/>
        <v>0</v>
      </c>
      <c r="H349" s="13">
        <f t="shared" si="73"/>
        <v>0</v>
      </c>
      <c r="I349" s="13">
        <f t="shared" si="73"/>
        <v>0</v>
      </c>
    </row>
    <row r="350" spans="1:9" hidden="1" x14ac:dyDescent="0.25">
      <c r="A350" s="255" t="s">
        <v>124</v>
      </c>
      <c r="B350" s="17" t="s">
        <v>117</v>
      </c>
      <c r="C350" s="6" t="s">
        <v>211</v>
      </c>
      <c r="D350" s="6" t="s">
        <v>111</v>
      </c>
      <c r="E350" s="6" t="s">
        <v>58</v>
      </c>
      <c r="F350" s="6" t="s">
        <v>165</v>
      </c>
      <c r="G350" s="13"/>
      <c r="H350" s="13"/>
      <c r="I350" s="13"/>
    </row>
    <row r="351" spans="1:9" ht="32.25" customHeight="1" x14ac:dyDescent="0.25">
      <c r="A351" s="255" t="s">
        <v>942</v>
      </c>
      <c r="B351" s="17" t="s">
        <v>117</v>
      </c>
      <c r="C351" s="6" t="s">
        <v>211</v>
      </c>
      <c r="D351" s="6" t="s">
        <v>111</v>
      </c>
      <c r="E351" s="6" t="s">
        <v>488</v>
      </c>
      <c r="F351" s="6" t="s">
        <v>222</v>
      </c>
      <c r="G351" s="11">
        <f t="shared" ref="G351:I352" si="74">G352</f>
        <v>13226.900000000001</v>
      </c>
      <c r="H351" s="13">
        <f t="shared" si="74"/>
        <v>11174.7</v>
      </c>
      <c r="I351" s="13">
        <f t="shared" si="74"/>
        <v>11174.7</v>
      </c>
    </row>
    <row r="352" spans="1:9" ht="48" customHeight="1" x14ac:dyDescent="0.25">
      <c r="A352" s="255" t="s">
        <v>715</v>
      </c>
      <c r="B352" s="17" t="s">
        <v>117</v>
      </c>
      <c r="C352" s="6" t="s">
        <v>211</v>
      </c>
      <c r="D352" s="6" t="s">
        <v>111</v>
      </c>
      <c r="E352" s="6" t="s">
        <v>488</v>
      </c>
      <c r="F352" s="6" t="s">
        <v>714</v>
      </c>
      <c r="G352" s="11">
        <f t="shared" si="74"/>
        <v>13226.900000000001</v>
      </c>
      <c r="H352" s="13">
        <f t="shared" si="74"/>
        <v>11174.7</v>
      </c>
      <c r="I352" s="13">
        <f t="shared" si="74"/>
        <v>11174.7</v>
      </c>
    </row>
    <row r="353" spans="1:16" ht="21" customHeight="1" x14ac:dyDescent="0.25">
      <c r="A353" s="255" t="s">
        <v>124</v>
      </c>
      <c r="B353" s="17" t="s">
        <v>117</v>
      </c>
      <c r="C353" s="6" t="s">
        <v>211</v>
      </c>
      <c r="D353" s="6" t="s">
        <v>111</v>
      </c>
      <c r="E353" s="6" t="s">
        <v>488</v>
      </c>
      <c r="F353" s="6" t="s">
        <v>165</v>
      </c>
      <c r="G353" s="11">
        <f>'5'!D185</f>
        <v>13226.900000000001</v>
      </c>
      <c r="H353" s="11">
        <f>'5'!E185</f>
        <v>11174.7</v>
      </c>
      <c r="I353" s="11">
        <f>'5'!F185</f>
        <v>11174.7</v>
      </c>
      <c r="L353" s="175"/>
      <c r="M353" s="175"/>
      <c r="N353" s="175"/>
      <c r="O353" s="175"/>
      <c r="P353" s="175"/>
    </row>
    <row r="354" spans="1:16" ht="33" customHeight="1" x14ac:dyDescent="0.25">
      <c r="A354" s="255" t="s">
        <v>943</v>
      </c>
      <c r="B354" s="17" t="s">
        <v>117</v>
      </c>
      <c r="C354" s="6" t="s">
        <v>211</v>
      </c>
      <c r="D354" s="6" t="s">
        <v>111</v>
      </c>
      <c r="E354" s="6" t="s">
        <v>489</v>
      </c>
      <c r="F354" s="6" t="s">
        <v>222</v>
      </c>
      <c r="G354" s="11">
        <f t="shared" ref="G354:I355" si="75">G355</f>
        <v>6135.06268</v>
      </c>
      <c r="H354" s="13">
        <f t="shared" si="75"/>
        <v>4512.5</v>
      </c>
      <c r="I354" s="13">
        <f t="shared" si="75"/>
        <v>4512.5</v>
      </c>
    </row>
    <row r="355" spans="1:16" ht="48" customHeight="1" x14ac:dyDescent="0.25">
      <c r="A355" s="255" t="s">
        <v>715</v>
      </c>
      <c r="B355" s="17" t="s">
        <v>117</v>
      </c>
      <c r="C355" s="6" t="s">
        <v>211</v>
      </c>
      <c r="D355" s="6" t="s">
        <v>111</v>
      </c>
      <c r="E355" s="6" t="s">
        <v>489</v>
      </c>
      <c r="F355" s="6" t="s">
        <v>714</v>
      </c>
      <c r="G355" s="11">
        <f t="shared" si="75"/>
        <v>6135.06268</v>
      </c>
      <c r="H355" s="13">
        <f t="shared" si="75"/>
        <v>4512.5</v>
      </c>
      <c r="I355" s="13">
        <f t="shared" si="75"/>
        <v>4512.5</v>
      </c>
      <c r="L355" s="175"/>
      <c r="M355" s="175"/>
      <c r="N355" s="175"/>
      <c r="O355" s="175"/>
      <c r="P355" s="175"/>
    </row>
    <row r="356" spans="1:16" ht="17.25" customHeight="1" x14ac:dyDescent="0.25">
      <c r="A356" s="255" t="s">
        <v>124</v>
      </c>
      <c r="B356" s="17" t="s">
        <v>117</v>
      </c>
      <c r="C356" s="6" t="s">
        <v>211</v>
      </c>
      <c r="D356" s="6" t="s">
        <v>111</v>
      </c>
      <c r="E356" s="6" t="s">
        <v>489</v>
      </c>
      <c r="F356" s="6" t="s">
        <v>165</v>
      </c>
      <c r="G356" s="11">
        <f>'5'!D187</f>
        <v>6135.06268</v>
      </c>
      <c r="H356" s="11">
        <f>'5'!E187</f>
        <v>4512.5</v>
      </c>
      <c r="I356" s="11">
        <f>'5'!F187</f>
        <v>4512.5</v>
      </c>
    </row>
    <row r="357" spans="1:16" ht="30" x14ac:dyDescent="0.25">
      <c r="A357" s="266" t="s">
        <v>794</v>
      </c>
      <c r="B357" s="17" t="s">
        <v>117</v>
      </c>
      <c r="C357" s="6" t="s">
        <v>211</v>
      </c>
      <c r="D357" s="6" t="s">
        <v>111</v>
      </c>
      <c r="E357" s="20" t="s">
        <v>666</v>
      </c>
      <c r="F357" s="20" t="s">
        <v>222</v>
      </c>
      <c r="G357" s="99">
        <f>G358</f>
        <v>866.90873999999997</v>
      </c>
      <c r="H357" s="21">
        <f t="shared" ref="H357:I359" si="76">H358</f>
        <v>0</v>
      </c>
      <c r="I357" s="21">
        <f t="shared" si="76"/>
        <v>0</v>
      </c>
    </row>
    <row r="358" spans="1:16" ht="30" x14ac:dyDescent="0.25">
      <c r="A358" s="255" t="s">
        <v>824</v>
      </c>
      <c r="B358" s="17" t="s">
        <v>117</v>
      </c>
      <c r="C358" s="6" t="s">
        <v>211</v>
      </c>
      <c r="D358" s="6" t="s">
        <v>111</v>
      </c>
      <c r="E358" s="6" t="s">
        <v>666</v>
      </c>
      <c r="F358" s="6" t="s">
        <v>222</v>
      </c>
      <c r="G358" s="11">
        <f>G359</f>
        <v>866.90873999999997</v>
      </c>
      <c r="H358" s="13">
        <f t="shared" si="76"/>
        <v>0</v>
      </c>
      <c r="I358" s="13">
        <f t="shared" si="76"/>
        <v>0</v>
      </c>
      <c r="L358" s="48"/>
      <c r="M358" s="48"/>
      <c r="N358" s="48"/>
      <c r="O358" s="48"/>
      <c r="P358" s="48"/>
    </row>
    <row r="359" spans="1:16" ht="45" x14ac:dyDescent="0.25">
      <c r="A359" s="255" t="s">
        <v>715</v>
      </c>
      <c r="B359" s="17" t="s">
        <v>117</v>
      </c>
      <c r="C359" s="6" t="s">
        <v>211</v>
      </c>
      <c r="D359" s="6" t="s">
        <v>111</v>
      </c>
      <c r="E359" s="6" t="s">
        <v>320</v>
      </c>
      <c r="F359" s="6" t="s">
        <v>714</v>
      </c>
      <c r="G359" s="11">
        <f>G360</f>
        <v>866.90873999999997</v>
      </c>
      <c r="H359" s="13">
        <f t="shared" si="76"/>
        <v>0</v>
      </c>
      <c r="I359" s="13">
        <f t="shared" si="76"/>
        <v>0</v>
      </c>
    </row>
    <row r="360" spans="1:16" x14ac:dyDescent="0.25">
      <c r="A360" s="255" t="s">
        <v>124</v>
      </c>
      <c r="B360" s="17" t="s">
        <v>117</v>
      </c>
      <c r="C360" s="6" t="s">
        <v>211</v>
      </c>
      <c r="D360" s="6" t="s">
        <v>111</v>
      </c>
      <c r="E360" s="6" t="s">
        <v>320</v>
      </c>
      <c r="F360" s="6" t="s">
        <v>165</v>
      </c>
      <c r="G360" s="16">
        <f>'3'!F408</f>
        <v>866.90873999999997</v>
      </c>
      <c r="H360" s="11">
        <f>'3'!G408</f>
        <v>0</v>
      </c>
      <c r="I360" s="11">
        <f>'3'!H408</f>
        <v>0</v>
      </c>
    </row>
    <row r="361" spans="1:16" ht="48" customHeight="1" x14ac:dyDescent="0.25">
      <c r="A361" s="277" t="s">
        <v>944</v>
      </c>
      <c r="B361" s="17" t="s">
        <v>117</v>
      </c>
      <c r="C361" s="6" t="s">
        <v>211</v>
      </c>
      <c r="D361" s="6" t="s">
        <v>111</v>
      </c>
      <c r="E361" s="18" t="s">
        <v>666</v>
      </c>
      <c r="F361" s="18" t="s">
        <v>222</v>
      </c>
      <c r="G361" s="95">
        <f>G362</f>
        <v>1010.10101</v>
      </c>
      <c r="H361" s="15">
        <f>H362</f>
        <v>1010.10101</v>
      </c>
      <c r="I361" s="15">
        <f>I362</f>
        <v>1010.10101</v>
      </c>
    </row>
    <row r="362" spans="1:16" ht="80.25" customHeight="1" x14ac:dyDescent="0.25">
      <c r="A362" s="266" t="s">
        <v>337</v>
      </c>
      <c r="B362" s="19" t="s">
        <v>117</v>
      </c>
      <c r="C362" s="20" t="s">
        <v>211</v>
      </c>
      <c r="D362" s="20" t="s">
        <v>111</v>
      </c>
      <c r="E362" s="20" t="s">
        <v>666</v>
      </c>
      <c r="F362" s="20" t="s">
        <v>222</v>
      </c>
      <c r="G362" s="99">
        <f>G363+G365</f>
        <v>1010.10101</v>
      </c>
      <c r="H362" s="21">
        <f>H363+H365</f>
        <v>1010.10101</v>
      </c>
      <c r="I362" s="21">
        <f>I363+I365</f>
        <v>1010.10101</v>
      </c>
    </row>
    <row r="363" spans="1:16" ht="93.75" customHeight="1" x14ac:dyDescent="0.25">
      <c r="A363" s="255" t="s">
        <v>945</v>
      </c>
      <c r="B363" s="17" t="s">
        <v>117</v>
      </c>
      <c r="C363" s="6" t="s">
        <v>211</v>
      </c>
      <c r="D363" s="6" t="s">
        <v>111</v>
      </c>
      <c r="E363" s="6" t="s">
        <v>392</v>
      </c>
      <c r="F363" s="6" t="s">
        <v>714</v>
      </c>
      <c r="G363" s="13">
        <f>G364</f>
        <v>1000</v>
      </c>
      <c r="H363" s="13">
        <f>H364</f>
        <v>1000</v>
      </c>
      <c r="I363" s="13">
        <f>I364</f>
        <v>1000</v>
      </c>
    </row>
    <row r="364" spans="1:16" ht="17.25" customHeight="1" x14ac:dyDescent="0.25">
      <c r="A364" s="255" t="s">
        <v>124</v>
      </c>
      <c r="B364" s="17" t="s">
        <v>117</v>
      </c>
      <c r="C364" s="6" t="s">
        <v>211</v>
      </c>
      <c r="D364" s="6" t="s">
        <v>111</v>
      </c>
      <c r="E364" s="6" t="s">
        <v>392</v>
      </c>
      <c r="F364" s="6" t="s">
        <v>165</v>
      </c>
      <c r="G364" s="13">
        <v>1000</v>
      </c>
      <c r="H364" s="13">
        <v>1000</v>
      </c>
      <c r="I364" s="13">
        <v>1000</v>
      </c>
    </row>
    <row r="365" spans="1:16" ht="113.25" customHeight="1" x14ac:dyDescent="0.25">
      <c r="A365" s="255" t="s">
        <v>946</v>
      </c>
      <c r="B365" s="17" t="s">
        <v>117</v>
      </c>
      <c r="C365" s="6" t="s">
        <v>211</v>
      </c>
      <c r="D365" s="6" t="s">
        <v>111</v>
      </c>
      <c r="E365" s="4" t="s">
        <v>607</v>
      </c>
      <c r="F365" s="6" t="s">
        <v>714</v>
      </c>
      <c r="G365" s="13">
        <f>G366</f>
        <v>10.10101</v>
      </c>
      <c r="H365" s="13">
        <f>H366</f>
        <v>10.10101</v>
      </c>
      <c r="I365" s="13">
        <f>I366</f>
        <v>10.10101</v>
      </c>
    </row>
    <row r="366" spans="1:16" x14ac:dyDescent="0.25">
      <c r="A366" s="255" t="s">
        <v>124</v>
      </c>
      <c r="B366" s="17" t="s">
        <v>117</v>
      </c>
      <c r="C366" s="6" t="s">
        <v>211</v>
      </c>
      <c r="D366" s="6" t="s">
        <v>111</v>
      </c>
      <c r="E366" s="4" t="s">
        <v>607</v>
      </c>
      <c r="F366" s="6" t="s">
        <v>165</v>
      </c>
      <c r="G366" s="13">
        <f>'5'!D179</f>
        <v>10.10101</v>
      </c>
      <c r="H366" s="13">
        <f>'5'!E179</f>
        <v>10.10101</v>
      </c>
      <c r="I366" s="13">
        <f>'5'!F179</f>
        <v>10.10101</v>
      </c>
    </row>
    <row r="367" spans="1:16" s="175" customFormat="1" ht="45" hidden="1" x14ac:dyDescent="0.25">
      <c r="A367" s="277" t="s">
        <v>449</v>
      </c>
      <c r="B367" s="42" t="s">
        <v>117</v>
      </c>
      <c r="C367" s="18" t="s">
        <v>211</v>
      </c>
      <c r="D367" s="18" t="s">
        <v>111</v>
      </c>
      <c r="E367" s="18" t="s">
        <v>634</v>
      </c>
      <c r="F367" s="18" t="s">
        <v>714</v>
      </c>
      <c r="G367" s="15">
        <f>G368</f>
        <v>0</v>
      </c>
      <c r="H367" s="15">
        <f>H368</f>
        <v>0</v>
      </c>
      <c r="I367" s="15">
        <f>I368</f>
        <v>0</v>
      </c>
      <c r="L367" s="7"/>
      <c r="M367" s="7"/>
      <c r="N367" s="7"/>
      <c r="O367" s="7"/>
      <c r="P367" s="7"/>
    </row>
    <row r="368" spans="1:16" ht="45" hidden="1" x14ac:dyDescent="0.25">
      <c r="A368" s="255" t="s">
        <v>633</v>
      </c>
      <c r="B368" s="17" t="s">
        <v>117</v>
      </c>
      <c r="C368" s="6" t="s">
        <v>211</v>
      </c>
      <c r="D368" s="6" t="s">
        <v>111</v>
      </c>
      <c r="E368" s="4" t="s">
        <v>634</v>
      </c>
      <c r="F368" s="4" t="s">
        <v>165</v>
      </c>
      <c r="G368" s="11"/>
      <c r="H368" s="11">
        <v>0</v>
      </c>
      <c r="I368" s="11">
        <v>0</v>
      </c>
    </row>
    <row r="369" spans="1:16" s="175" customFormat="1" ht="44.25" hidden="1" customHeight="1" x14ac:dyDescent="0.25">
      <c r="A369" s="277" t="s">
        <v>484</v>
      </c>
      <c r="B369" s="17" t="s">
        <v>117</v>
      </c>
      <c r="C369" s="6" t="s">
        <v>211</v>
      </c>
      <c r="D369" s="6" t="s">
        <v>111</v>
      </c>
      <c r="E369" s="4" t="s">
        <v>627</v>
      </c>
      <c r="F369" s="158" t="s">
        <v>222</v>
      </c>
      <c r="G369" s="95">
        <f t="shared" ref="G369:I370" si="77">G370</f>
        <v>0</v>
      </c>
      <c r="H369" s="95">
        <f t="shared" si="77"/>
        <v>0</v>
      </c>
      <c r="I369" s="95">
        <f t="shared" si="77"/>
        <v>0</v>
      </c>
      <c r="L369" s="7"/>
      <c r="M369" s="7"/>
      <c r="N369" s="7"/>
      <c r="O369" s="7"/>
      <c r="P369" s="7"/>
    </row>
    <row r="370" spans="1:16" ht="54.75" hidden="1" customHeight="1" x14ac:dyDescent="0.25">
      <c r="A370" s="255" t="s">
        <v>821</v>
      </c>
      <c r="B370" s="17" t="s">
        <v>117</v>
      </c>
      <c r="C370" s="6" t="s">
        <v>211</v>
      </c>
      <c r="D370" s="6" t="s">
        <v>111</v>
      </c>
      <c r="E370" s="4" t="s">
        <v>627</v>
      </c>
      <c r="F370" s="4" t="s">
        <v>714</v>
      </c>
      <c r="G370" s="11">
        <f t="shared" si="77"/>
        <v>0</v>
      </c>
      <c r="H370" s="13">
        <f t="shared" si="77"/>
        <v>0</v>
      </c>
      <c r="I370" s="13">
        <f t="shared" si="77"/>
        <v>0</v>
      </c>
      <c r="L370" s="175"/>
      <c r="M370" s="175"/>
      <c r="N370" s="175"/>
      <c r="O370" s="175"/>
      <c r="P370" s="175"/>
    </row>
    <row r="371" spans="1:16" ht="30" hidden="1" x14ac:dyDescent="0.25">
      <c r="A371" s="255" t="s">
        <v>822</v>
      </c>
      <c r="B371" s="17" t="s">
        <v>117</v>
      </c>
      <c r="C371" s="6" t="s">
        <v>211</v>
      </c>
      <c r="D371" s="6" t="s">
        <v>111</v>
      </c>
      <c r="E371" s="4" t="s">
        <v>627</v>
      </c>
      <c r="F371" s="4" t="s">
        <v>165</v>
      </c>
      <c r="G371" s="11">
        <v>0</v>
      </c>
      <c r="H371" s="13">
        <v>0</v>
      </c>
      <c r="I371" s="13">
        <v>0</v>
      </c>
    </row>
    <row r="372" spans="1:16" s="48" customFormat="1" ht="45" x14ac:dyDescent="0.25">
      <c r="A372" s="304" t="s">
        <v>1025</v>
      </c>
      <c r="B372" s="190" t="s">
        <v>117</v>
      </c>
      <c r="C372" s="191" t="s">
        <v>211</v>
      </c>
      <c r="D372" s="191" t="s">
        <v>685</v>
      </c>
      <c r="E372" s="191" t="s">
        <v>6</v>
      </c>
      <c r="F372" s="191" t="s">
        <v>222</v>
      </c>
      <c r="G372" s="192">
        <f>G373</f>
        <v>50</v>
      </c>
      <c r="H372" s="192">
        <f>H373</f>
        <v>0</v>
      </c>
      <c r="I372" s="192">
        <f t="shared" ref="I372" si="78">I373</f>
        <v>0</v>
      </c>
      <c r="L372" s="7"/>
      <c r="M372" s="7"/>
      <c r="N372" s="7"/>
      <c r="O372" s="7"/>
      <c r="P372" s="7"/>
    </row>
    <row r="373" spans="1:16" ht="50.25" customHeight="1" x14ac:dyDescent="0.25">
      <c r="A373" s="277" t="s">
        <v>1020</v>
      </c>
      <c r="B373" s="42" t="s">
        <v>117</v>
      </c>
      <c r="C373" s="18" t="s">
        <v>211</v>
      </c>
      <c r="D373" s="18" t="s">
        <v>685</v>
      </c>
      <c r="E373" s="18" t="s">
        <v>1017</v>
      </c>
      <c r="F373" s="18" t="s">
        <v>222</v>
      </c>
      <c r="G373" s="95">
        <f>G374</f>
        <v>50</v>
      </c>
      <c r="H373" s="95">
        <f t="shared" ref="H373:I374" si="79">H374</f>
        <v>0</v>
      </c>
      <c r="I373" s="95">
        <f t="shared" si="79"/>
        <v>0</v>
      </c>
    </row>
    <row r="374" spans="1:16" ht="36" customHeight="1" x14ac:dyDescent="0.25">
      <c r="A374" s="255" t="s">
        <v>676</v>
      </c>
      <c r="B374" s="17" t="s">
        <v>117</v>
      </c>
      <c r="C374" s="6" t="s">
        <v>211</v>
      </c>
      <c r="D374" s="6" t="s">
        <v>685</v>
      </c>
      <c r="E374" s="6" t="s">
        <v>1017</v>
      </c>
      <c r="F374" s="6" t="s">
        <v>677</v>
      </c>
      <c r="G374" s="11">
        <f>G375</f>
        <v>50</v>
      </c>
      <c r="H374" s="11">
        <f t="shared" si="79"/>
        <v>0</v>
      </c>
      <c r="I374" s="11">
        <f t="shared" si="79"/>
        <v>0</v>
      </c>
    </row>
    <row r="375" spans="1:16" ht="50.25" customHeight="1" x14ac:dyDescent="0.25">
      <c r="A375" s="255" t="s">
        <v>678</v>
      </c>
      <c r="B375" s="17" t="s">
        <v>117</v>
      </c>
      <c r="C375" s="6" t="s">
        <v>211</v>
      </c>
      <c r="D375" s="6" t="s">
        <v>685</v>
      </c>
      <c r="E375" s="6" t="s">
        <v>1017</v>
      </c>
      <c r="F375" s="6" t="s">
        <v>679</v>
      </c>
      <c r="G375" s="11">
        <v>50</v>
      </c>
      <c r="H375" s="13">
        <v>0</v>
      </c>
      <c r="I375" s="13">
        <v>0</v>
      </c>
    </row>
    <row r="376" spans="1:16" ht="22.5" customHeight="1" x14ac:dyDescent="0.25">
      <c r="A376" s="304" t="s">
        <v>838</v>
      </c>
      <c r="B376" s="190" t="s">
        <v>117</v>
      </c>
      <c r="C376" s="191" t="s">
        <v>211</v>
      </c>
      <c r="D376" s="191" t="s">
        <v>747</v>
      </c>
      <c r="E376" s="191" t="s">
        <v>666</v>
      </c>
      <c r="F376" s="191" t="s">
        <v>222</v>
      </c>
      <c r="G376" s="192">
        <f>G377+G384+G388</f>
        <v>151</v>
      </c>
      <c r="H376" s="192">
        <f>H377+H384+H388</f>
        <v>161</v>
      </c>
      <c r="I376" s="192">
        <f>I377+I384+I388</f>
        <v>211</v>
      </c>
    </row>
    <row r="377" spans="1:16" ht="45" x14ac:dyDescent="0.25">
      <c r="A377" s="263" t="s">
        <v>724</v>
      </c>
      <c r="B377" s="96">
        <v>951</v>
      </c>
      <c r="C377" s="158" t="s">
        <v>211</v>
      </c>
      <c r="D377" s="158" t="s">
        <v>747</v>
      </c>
      <c r="E377" s="158" t="s">
        <v>22</v>
      </c>
      <c r="F377" s="158" t="s">
        <v>222</v>
      </c>
      <c r="G377" s="95">
        <f>G378</f>
        <v>111</v>
      </c>
      <c r="H377" s="95">
        <f t="shared" ref="H377:I379" si="80">H378</f>
        <v>161</v>
      </c>
      <c r="I377" s="95">
        <f t="shared" si="80"/>
        <v>211</v>
      </c>
    </row>
    <row r="378" spans="1:16" ht="34.9" customHeight="1" x14ac:dyDescent="0.25">
      <c r="A378" s="307" t="s">
        <v>947</v>
      </c>
      <c r="B378" s="42">
        <v>951</v>
      </c>
      <c r="C378" s="18" t="s">
        <v>211</v>
      </c>
      <c r="D378" s="18" t="s">
        <v>747</v>
      </c>
      <c r="E378" s="18" t="s">
        <v>23</v>
      </c>
      <c r="F378" s="18" t="s">
        <v>222</v>
      </c>
      <c r="G378" s="15">
        <f>G379</f>
        <v>111</v>
      </c>
      <c r="H378" s="15">
        <f t="shared" si="80"/>
        <v>161</v>
      </c>
      <c r="I378" s="15">
        <f t="shared" si="80"/>
        <v>211</v>
      </c>
    </row>
    <row r="379" spans="1:16" ht="33.75" customHeight="1" x14ac:dyDescent="0.25">
      <c r="A379" s="255" t="s">
        <v>676</v>
      </c>
      <c r="B379" s="17">
        <v>951</v>
      </c>
      <c r="C379" s="6" t="s">
        <v>211</v>
      </c>
      <c r="D379" s="6" t="s">
        <v>747</v>
      </c>
      <c r="E379" s="6" t="s">
        <v>24</v>
      </c>
      <c r="F379" s="6" t="s">
        <v>677</v>
      </c>
      <c r="G379" s="13">
        <f>G380</f>
        <v>111</v>
      </c>
      <c r="H379" s="13">
        <f t="shared" si="80"/>
        <v>161</v>
      </c>
      <c r="I379" s="13">
        <f t="shared" si="80"/>
        <v>211</v>
      </c>
    </row>
    <row r="380" spans="1:16" ht="50.25" customHeight="1" x14ac:dyDescent="0.25">
      <c r="A380" s="255" t="s">
        <v>678</v>
      </c>
      <c r="B380" s="17">
        <v>951</v>
      </c>
      <c r="C380" s="6" t="s">
        <v>211</v>
      </c>
      <c r="D380" s="6" t="s">
        <v>747</v>
      </c>
      <c r="E380" s="6" t="s">
        <v>24</v>
      </c>
      <c r="F380" s="6" t="s">
        <v>679</v>
      </c>
      <c r="G380" s="13">
        <f>'5'!D97</f>
        <v>111</v>
      </c>
      <c r="H380" s="13">
        <f>'5'!E97</f>
        <v>161</v>
      </c>
      <c r="I380" s="13">
        <f>'5'!F97</f>
        <v>211</v>
      </c>
    </row>
    <row r="381" spans="1:16" ht="60" hidden="1" x14ac:dyDescent="0.25">
      <c r="A381" s="277" t="s">
        <v>948</v>
      </c>
      <c r="B381" s="17">
        <v>951</v>
      </c>
      <c r="C381" s="6" t="s">
        <v>211</v>
      </c>
      <c r="D381" s="6" t="s">
        <v>747</v>
      </c>
      <c r="E381" s="18" t="s">
        <v>28</v>
      </c>
      <c r="F381" s="6" t="s">
        <v>222</v>
      </c>
      <c r="G381" s="13">
        <f t="shared" ref="G381:I382" si="81">G382</f>
        <v>0</v>
      </c>
      <c r="H381" s="13">
        <f t="shared" si="81"/>
        <v>0</v>
      </c>
      <c r="I381" s="13">
        <f t="shared" si="81"/>
        <v>0</v>
      </c>
    </row>
    <row r="382" spans="1:16" ht="30" hidden="1" x14ac:dyDescent="0.25">
      <c r="A382" s="255" t="s">
        <v>676</v>
      </c>
      <c r="B382" s="17">
        <v>951</v>
      </c>
      <c r="C382" s="6" t="s">
        <v>211</v>
      </c>
      <c r="D382" s="6" t="s">
        <v>747</v>
      </c>
      <c r="E382" s="6" t="s">
        <v>287</v>
      </c>
      <c r="F382" s="6" t="s">
        <v>677</v>
      </c>
      <c r="G382" s="13">
        <f t="shared" si="81"/>
        <v>0</v>
      </c>
      <c r="H382" s="13">
        <f t="shared" si="81"/>
        <v>0</v>
      </c>
      <c r="I382" s="13">
        <f t="shared" si="81"/>
        <v>0</v>
      </c>
    </row>
    <row r="383" spans="1:16" ht="45" hidden="1" x14ac:dyDescent="0.25">
      <c r="A383" s="255" t="s">
        <v>678</v>
      </c>
      <c r="B383" s="17">
        <v>951</v>
      </c>
      <c r="C383" s="6" t="s">
        <v>211</v>
      </c>
      <c r="D383" s="6" t="s">
        <v>747</v>
      </c>
      <c r="E383" s="6" t="s">
        <v>287</v>
      </c>
      <c r="F383" s="6" t="s">
        <v>679</v>
      </c>
      <c r="G383" s="13"/>
      <c r="H383" s="13"/>
      <c r="I383" s="13"/>
    </row>
    <row r="384" spans="1:16" s="175" customFormat="1" ht="48.75" customHeight="1" x14ac:dyDescent="0.25">
      <c r="A384" s="277" t="s">
        <v>524</v>
      </c>
      <c r="B384" s="42">
        <v>951</v>
      </c>
      <c r="C384" s="18" t="s">
        <v>211</v>
      </c>
      <c r="D384" s="18" t="s">
        <v>747</v>
      </c>
      <c r="E384" s="18" t="s">
        <v>846</v>
      </c>
      <c r="F384" s="18" t="s">
        <v>222</v>
      </c>
      <c r="G384" s="15">
        <f t="shared" ref="G384:I385" si="82">G385</f>
        <v>40</v>
      </c>
      <c r="H384" s="15">
        <f t="shared" si="82"/>
        <v>0</v>
      </c>
      <c r="I384" s="15">
        <f t="shared" si="82"/>
        <v>0</v>
      </c>
      <c r="L384" s="7"/>
      <c r="M384" s="7"/>
      <c r="N384" s="7"/>
      <c r="O384" s="7"/>
      <c r="P384" s="7"/>
    </row>
    <row r="385" spans="1:10" ht="30" x14ac:dyDescent="0.25">
      <c r="A385" s="255" t="s">
        <v>676</v>
      </c>
      <c r="B385" s="42">
        <v>951</v>
      </c>
      <c r="C385" s="6" t="s">
        <v>211</v>
      </c>
      <c r="D385" s="6" t="s">
        <v>747</v>
      </c>
      <c r="E385" s="6" t="s">
        <v>491</v>
      </c>
      <c r="F385" s="6" t="s">
        <v>677</v>
      </c>
      <c r="G385" s="13">
        <f t="shared" si="82"/>
        <v>40</v>
      </c>
      <c r="H385" s="13">
        <f t="shared" si="82"/>
        <v>0</v>
      </c>
      <c r="I385" s="13">
        <f t="shared" si="82"/>
        <v>0</v>
      </c>
    </row>
    <row r="386" spans="1:10" ht="48.75" customHeight="1" x14ac:dyDescent="0.25">
      <c r="A386" s="255" t="s">
        <v>678</v>
      </c>
      <c r="B386" s="42">
        <v>951</v>
      </c>
      <c r="C386" s="6" t="s">
        <v>211</v>
      </c>
      <c r="D386" s="6" t="s">
        <v>747</v>
      </c>
      <c r="E386" s="6" t="s">
        <v>491</v>
      </c>
      <c r="F386" s="6" t="s">
        <v>679</v>
      </c>
      <c r="G386" s="13">
        <f>'5'!D240</f>
        <v>40</v>
      </c>
      <c r="H386" s="13">
        <f>'5'!E240</f>
        <v>0</v>
      </c>
      <c r="I386" s="13">
        <f>'5'!F240</f>
        <v>0</v>
      </c>
    </row>
    <row r="387" spans="1:10" hidden="1" x14ac:dyDescent="0.25">
      <c r="A387" s="255"/>
      <c r="B387" s="17"/>
      <c r="C387" s="6"/>
      <c r="D387" s="6"/>
      <c r="E387" s="6"/>
      <c r="F387" s="6"/>
      <c r="G387" s="13"/>
      <c r="H387" s="13"/>
      <c r="I387" s="13"/>
    </row>
    <row r="388" spans="1:10" ht="33.75" hidden="1" customHeight="1" x14ac:dyDescent="0.25">
      <c r="A388" s="255" t="s">
        <v>669</v>
      </c>
      <c r="B388" s="17">
        <v>951</v>
      </c>
      <c r="C388" s="6" t="s">
        <v>211</v>
      </c>
      <c r="D388" s="6" t="s">
        <v>747</v>
      </c>
      <c r="E388" s="6" t="s">
        <v>5</v>
      </c>
      <c r="F388" s="6" t="s">
        <v>222</v>
      </c>
      <c r="G388" s="13">
        <f>G389</f>
        <v>0</v>
      </c>
      <c r="H388" s="13">
        <f>H389</f>
        <v>0</v>
      </c>
      <c r="I388" s="13">
        <f>I389</f>
        <v>0</v>
      </c>
    </row>
    <row r="389" spans="1:10" ht="46.5" hidden="1" customHeight="1" x14ac:dyDescent="0.25">
      <c r="A389" s="255" t="s">
        <v>110</v>
      </c>
      <c r="B389" s="17">
        <v>951</v>
      </c>
      <c r="C389" s="6" t="s">
        <v>211</v>
      </c>
      <c r="D389" s="6" t="s">
        <v>747</v>
      </c>
      <c r="E389" s="6" t="s">
        <v>6</v>
      </c>
      <c r="F389" s="6" t="s">
        <v>222</v>
      </c>
      <c r="G389" s="13">
        <f>G390+G395</f>
        <v>0</v>
      </c>
      <c r="H389" s="13">
        <f>H390+H395</f>
        <v>0</v>
      </c>
      <c r="I389" s="13">
        <f>I390+I395</f>
        <v>0</v>
      </c>
    </row>
    <row r="390" spans="1:10" ht="45" hidden="1" x14ac:dyDescent="0.25">
      <c r="A390" s="255" t="s">
        <v>112</v>
      </c>
      <c r="B390" s="17">
        <v>951</v>
      </c>
      <c r="C390" s="6" t="s">
        <v>211</v>
      </c>
      <c r="D390" s="6" t="s">
        <v>747</v>
      </c>
      <c r="E390" s="6" t="s">
        <v>9</v>
      </c>
      <c r="F390" s="6" t="s">
        <v>222</v>
      </c>
      <c r="G390" s="13">
        <f>G391+G393</f>
        <v>0</v>
      </c>
      <c r="H390" s="13">
        <f>H391+H393</f>
        <v>0</v>
      </c>
      <c r="I390" s="13">
        <f>I391+I393</f>
        <v>0</v>
      </c>
    </row>
    <row r="391" spans="1:10" ht="78" hidden="1" customHeight="1" x14ac:dyDescent="0.25">
      <c r="A391" s="255" t="s">
        <v>670</v>
      </c>
      <c r="B391" s="17">
        <v>951</v>
      </c>
      <c r="C391" s="6" t="s">
        <v>211</v>
      </c>
      <c r="D391" s="6" t="s">
        <v>747</v>
      </c>
      <c r="E391" s="6" t="s">
        <v>9</v>
      </c>
      <c r="F391" s="6" t="s">
        <v>671</v>
      </c>
      <c r="G391" s="13">
        <f>G392</f>
        <v>0</v>
      </c>
      <c r="H391" s="13">
        <f>H392</f>
        <v>0</v>
      </c>
      <c r="I391" s="13">
        <f>I392</f>
        <v>0</v>
      </c>
    </row>
    <row r="392" spans="1:10" ht="30" hidden="1" x14ac:dyDescent="0.25">
      <c r="A392" s="255" t="s">
        <v>672</v>
      </c>
      <c r="B392" s="17">
        <v>951</v>
      </c>
      <c r="C392" s="6" t="s">
        <v>211</v>
      </c>
      <c r="D392" s="6" t="s">
        <v>747</v>
      </c>
      <c r="E392" s="6" t="s">
        <v>9</v>
      </c>
      <c r="F392" s="6" t="s">
        <v>673</v>
      </c>
      <c r="G392" s="16">
        <v>0</v>
      </c>
      <c r="H392" s="16">
        <v>0</v>
      </c>
      <c r="I392" s="16">
        <v>0</v>
      </c>
    </row>
    <row r="393" spans="1:10" ht="30" hidden="1" x14ac:dyDescent="0.25">
      <c r="A393" s="255" t="s">
        <v>676</v>
      </c>
      <c r="B393" s="17">
        <v>951</v>
      </c>
      <c r="C393" s="6" t="s">
        <v>211</v>
      </c>
      <c r="D393" s="6" t="s">
        <v>747</v>
      </c>
      <c r="E393" s="6" t="s">
        <v>9</v>
      </c>
      <c r="F393" s="6" t="s">
        <v>677</v>
      </c>
      <c r="G393" s="13">
        <f>G394</f>
        <v>0</v>
      </c>
      <c r="H393" s="13">
        <f>H394</f>
        <v>0</v>
      </c>
      <c r="I393" s="13">
        <f>I394</f>
        <v>0</v>
      </c>
    </row>
    <row r="394" spans="1:10" ht="45" hidden="1" x14ac:dyDescent="0.25">
      <c r="A394" s="255" t="s">
        <v>678</v>
      </c>
      <c r="B394" s="17">
        <v>951</v>
      </c>
      <c r="C394" s="6" t="s">
        <v>211</v>
      </c>
      <c r="D394" s="6" t="s">
        <v>747</v>
      </c>
      <c r="E394" s="6" t="s">
        <v>9</v>
      </c>
      <c r="F394" s="6" t="s">
        <v>679</v>
      </c>
      <c r="G394" s="16">
        <v>0</v>
      </c>
      <c r="H394" s="16">
        <v>0</v>
      </c>
      <c r="I394" s="16">
        <v>0</v>
      </c>
    </row>
    <row r="395" spans="1:10" ht="77.25" hidden="1" customHeight="1" x14ac:dyDescent="0.25">
      <c r="A395" s="277" t="s">
        <v>847</v>
      </c>
      <c r="B395" s="42">
        <v>951</v>
      </c>
      <c r="C395" s="18" t="s">
        <v>211</v>
      </c>
      <c r="D395" s="18" t="s">
        <v>747</v>
      </c>
      <c r="E395" s="18" t="s">
        <v>381</v>
      </c>
      <c r="F395" s="18" t="s">
        <v>222</v>
      </c>
      <c r="G395" s="15">
        <f>G396+G398</f>
        <v>0</v>
      </c>
      <c r="H395" s="15">
        <f>H396+H398</f>
        <v>0</v>
      </c>
      <c r="I395" s="15">
        <f>I396+I398</f>
        <v>0</v>
      </c>
    </row>
    <row r="396" spans="1:10" ht="93.75" hidden="1" customHeight="1" x14ac:dyDescent="0.25">
      <c r="A396" s="255" t="s">
        <v>670</v>
      </c>
      <c r="B396" s="17">
        <v>951</v>
      </c>
      <c r="C396" s="6" t="s">
        <v>211</v>
      </c>
      <c r="D396" s="6" t="s">
        <v>747</v>
      </c>
      <c r="E396" s="6" t="s">
        <v>381</v>
      </c>
      <c r="F396" s="6" t="s">
        <v>671</v>
      </c>
      <c r="G396" s="13">
        <f>G397</f>
        <v>0</v>
      </c>
      <c r="H396" s="13">
        <f>H397</f>
        <v>0</v>
      </c>
      <c r="I396" s="13">
        <f>I397</f>
        <v>0</v>
      </c>
    </row>
    <row r="397" spans="1:10" ht="30" hidden="1" x14ac:dyDescent="0.25">
      <c r="A397" s="255" t="s">
        <v>672</v>
      </c>
      <c r="B397" s="17">
        <v>951</v>
      </c>
      <c r="C397" s="6" t="s">
        <v>211</v>
      </c>
      <c r="D397" s="6" t="s">
        <v>747</v>
      </c>
      <c r="E397" s="6" t="s">
        <v>381</v>
      </c>
      <c r="F397" s="6" t="s">
        <v>673</v>
      </c>
      <c r="G397" s="13">
        <f>'3'!F662</f>
        <v>0</v>
      </c>
      <c r="H397" s="13">
        <f>'3'!G662</f>
        <v>0</v>
      </c>
      <c r="I397" s="13">
        <f>'3'!H662</f>
        <v>0</v>
      </c>
    </row>
    <row r="398" spans="1:10" ht="30" hidden="1" x14ac:dyDescent="0.25">
      <c r="A398" s="255" t="s">
        <v>676</v>
      </c>
      <c r="B398" s="17">
        <v>951</v>
      </c>
      <c r="C398" s="6" t="s">
        <v>211</v>
      </c>
      <c r="D398" s="6" t="s">
        <v>747</v>
      </c>
      <c r="E398" s="6" t="s">
        <v>381</v>
      </c>
      <c r="F398" s="6" t="s">
        <v>677</v>
      </c>
      <c r="G398" s="13">
        <f>G399</f>
        <v>0</v>
      </c>
      <c r="H398" s="13">
        <f>H399</f>
        <v>0</v>
      </c>
      <c r="I398" s="13">
        <f>I399</f>
        <v>0</v>
      </c>
    </row>
    <row r="399" spans="1:10" ht="45" hidden="1" x14ac:dyDescent="0.25">
      <c r="A399" s="255" t="s">
        <v>678</v>
      </c>
      <c r="B399" s="17">
        <v>951</v>
      </c>
      <c r="C399" s="6" t="s">
        <v>211</v>
      </c>
      <c r="D399" s="6" t="s">
        <v>747</v>
      </c>
      <c r="E399" s="6" t="s">
        <v>381</v>
      </c>
      <c r="F399" s="6" t="s">
        <v>679</v>
      </c>
      <c r="G399" s="13">
        <f>'3'!F664</f>
        <v>0</v>
      </c>
      <c r="H399" s="13">
        <f>'3'!G664</f>
        <v>0</v>
      </c>
      <c r="I399" s="13">
        <f>'3'!H664</f>
        <v>0</v>
      </c>
    </row>
    <row r="400" spans="1:10" x14ac:dyDescent="0.25">
      <c r="A400" s="303" t="s">
        <v>848</v>
      </c>
      <c r="B400" s="185">
        <v>951</v>
      </c>
      <c r="C400" s="184" t="s">
        <v>758</v>
      </c>
      <c r="D400" s="184" t="s">
        <v>109</v>
      </c>
      <c r="E400" s="184" t="s">
        <v>666</v>
      </c>
      <c r="F400" s="184" t="s">
        <v>222</v>
      </c>
      <c r="G400" s="178">
        <f>G401+G464</f>
        <v>34466.307650000002</v>
      </c>
      <c r="H400" s="178">
        <f>H401+H464</f>
        <v>16013.952020000002</v>
      </c>
      <c r="I400" s="178">
        <f>I401+I464</f>
        <v>16013.952020000002</v>
      </c>
      <c r="J400" s="7">
        <v>13627.01902</v>
      </c>
    </row>
    <row r="401" spans="1:10" ht="17.649999999999999" customHeight="1" x14ac:dyDescent="0.25">
      <c r="A401" s="301" t="s">
        <v>849</v>
      </c>
      <c r="B401" s="179">
        <v>951</v>
      </c>
      <c r="C401" s="180" t="s">
        <v>758</v>
      </c>
      <c r="D401" s="180" t="s">
        <v>108</v>
      </c>
      <c r="E401" s="180" t="s">
        <v>666</v>
      </c>
      <c r="F401" s="180" t="s">
        <v>222</v>
      </c>
      <c r="G401" s="181">
        <f>G402+G461+G408</f>
        <v>31008.296750000001</v>
      </c>
      <c r="H401" s="181">
        <f>H402+H461</f>
        <v>14542.752020000002</v>
      </c>
      <c r="I401" s="181">
        <f>I402+I461</f>
        <v>14542.752020000002</v>
      </c>
      <c r="J401" s="45">
        <f>J400-G400</f>
        <v>-20839.288630000003</v>
      </c>
    </row>
    <row r="402" spans="1:10" ht="48" customHeight="1" x14ac:dyDescent="0.25">
      <c r="A402" s="277" t="s">
        <v>556</v>
      </c>
      <c r="B402" s="42">
        <v>951</v>
      </c>
      <c r="C402" s="18" t="s">
        <v>758</v>
      </c>
      <c r="D402" s="18" t="s">
        <v>108</v>
      </c>
      <c r="E402" s="18" t="s">
        <v>949</v>
      </c>
      <c r="F402" s="18" t="s">
        <v>222</v>
      </c>
      <c r="G402" s="15">
        <f>G403+G408+G444+G451+G458+G436+G415+G422+G448+G429</f>
        <v>31008.296750000001</v>
      </c>
      <c r="H402" s="15">
        <f>H403+H408+H444+H451+H458+H436+H415+H422+H448</f>
        <v>14542.752020000002</v>
      </c>
      <c r="I402" s="15">
        <f>I403+I408+I444+I451+I458+I436+I415+I422+I448</f>
        <v>14542.752020000002</v>
      </c>
    </row>
    <row r="403" spans="1:10" ht="71.25" customHeight="1" x14ac:dyDescent="0.25">
      <c r="A403" s="274" t="s">
        <v>292</v>
      </c>
      <c r="B403" s="17">
        <v>951</v>
      </c>
      <c r="C403" s="6" t="s">
        <v>758</v>
      </c>
      <c r="D403" s="6" t="s">
        <v>108</v>
      </c>
      <c r="E403" s="6" t="s">
        <v>59</v>
      </c>
      <c r="F403" s="6" t="s">
        <v>222</v>
      </c>
      <c r="G403" s="11">
        <f>G404+G406</f>
        <v>12005.063000000002</v>
      </c>
      <c r="H403" s="13">
        <f>H404+H406</f>
        <v>8899.4500000000007</v>
      </c>
      <c r="I403" s="13">
        <f>I404+I406</f>
        <v>8899.4500000000007</v>
      </c>
    </row>
    <row r="404" spans="1:10" ht="51" customHeight="1" x14ac:dyDescent="0.25">
      <c r="A404" s="255" t="s">
        <v>715</v>
      </c>
      <c r="B404" s="17">
        <v>951</v>
      </c>
      <c r="C404" s="6" t="s">
        <v>758</v>
      </c>
      <c r="D404" s="6" t="s">
        <v>108</v>
      </c>
      <c r="E404" s="6" t="s">
        <v>60</v>
      </c>
      <c r="F404" s="6" t="s">
        <v>714</v>
      </c>
      <c r="G404" s="11">
        <f>G405</f>
        <v>11557.350000000002</v>
      </c>
      <c r="H404" s="13">
        <f>H405</f>
        <v>8899.4500000000007</v>
      </c>
      <c r="I404" s="13">
        <f>I405</f>
        <v>8899.4500000000007</v>
      </c>
    </row>
    <row r="405" spans="1:10" ht="24" customHeight="1" x14ac:dyDescent="0.25">
      <c r="A405" s="255" t="s">
        <v>124</v>
      </c>
      <c r="B405" s="17">
        <v>951</v>
      </c>
      <c r="C405" s="6" t="s">
        <v>758</v>
      </c>
      <c r="D405" s="6" t="s">
        <v>108</v>
      </c>
      <c r="E405" s="6" t="s">
        <v>61</v>
      </c>
      <c r="F405" s="6" t="s">
        <v>165</v>
      </c>
      <c r="G405" s="11">
        <f>'5'!D149</f>
        <v>11557.350000000002</v>
      </c>
      <c r="H405" s="11">
        <f>'5'!E149</f>
        <v>8899.4500000000007</v>
      </c>
      <c r="I405" s="11">
        <f>'5'!F149</f>
        <v>8899.4500000000007</v>
      </c>
    </row>
    <row r="406" spans="1:10" ht="114" customHeight="1" x14ac:dyDescent="0.25">
      <c r="A406" s="255" t="s">
        <v>851</v>
      </c>
      <c r="B406" s="17">
        <v>951</v>
      </c>
      <c r="C406" s="6" t="s">
        <v>758</v>
      </c>
      <c r="D406" s="6" t="s">
        <v>108</v>
      </c>
      <c r="E406" s="6" t="s">
        <v>77</v>
      </c>
      <c r="F406" s="6" t="s">
        <v>714</v>
      </c>
      <c r="G406" s="11">
        <f>G407</f>
        <v>447.71300000000002</v>
      </c>
      <c r="H406" s="11">
        <f>H407</f>
        <v>0</v>
      </c>
      <c r="I406" s="11">
        <f>I407</f>
        <v>0</v>
      </c>
    </row>
    <row r="407" spans="1:10" ht="16.5" customHeight="1" x14ac:dyDescent="0.25">
      <c r="A407" s="255" t="s">
        <v>124</v>
      </c>
      <c r="B407" s="17">
        <v>951</v>
      </c>
      <c r="C407" s="6" t="s">
        <v>758</v>
      </c>
      <c r="D407" s="6" t="s">
        <v>108</v>
      </c>
      <c r="E407" s="6" t="s">
        <v>77</v>
      </c>
      <c r="F407" s="6" t="s">
        <v>165</v>
      </c>
      <c r="G407" s="11">
        <f>'5'!D150</f>
        <v>447.71300000000002</v>
      </c>
      <c r="H407" s="11">
        <f>'5'!E150</f>
        <v>0</v>
      </c>
      <c r="I407" s="11">
        <f>'5'!F150</f>
        <v>0</v>
      </c>
    </row>
    <row r="408" spans="1:10" ht="62.65" hidden="1" customHeight="1" x14ac:dyDescent="0.25">
      <c r="A408" s="422" t="s">
        <v>325</v>
      </c>
      <c r="B408" s="17">
        <v>952</v>
      </c>
      <c r="C408" s="6" t="s">
        <v>758</v>
      </c>
      <c r="D408" s="6" t="s">
        <v>108</v>
      </c>
      <c r="E408" s="23" t="s">
        <v>59</v>
      </c>
      <c r="F408" s="23" t="s">
        <v>222</v>
      </c>
      <c r="G408" s="12">
        <f>G409+G412+G442</f>
        <v>0</v>
      </c>
      <c r="H408" s="22">
        <f>H409+H412+H442</f>
        <v>0</v>
      </c>
      <c r="I408" s="22">
        <f>I409+I412+I442</f>
        <v>0</v>
      </c>
    </row>
    <row r="409" spans="1:10" ht="69" hidden="1" customHeight="1" x14ac:dyDescent="0.25">
      <c r="A409" s="277" t="s">
        <v>326</v>
      </c>
      <c r="B409" s="17">
        <v>953</v>
      </c>
      <c r="C409" s="6" t="s">
        <v>758</v>
      </c>
      <c r="D409" s="6" t="s">
        <v>108</v>
      </c>
      <c r="E409" s="18" t="s">
        <v>327</v>
      </c>
      <c r="F409" s="18" t="s">
        <v>222</v>
      </c>
      <c r="G409" s="95">
        <f t="shared" ref="G409:I410" si="83">G410</f>
        <v>0</v>
      </c>
      <c r="H409" s="15">
        <f t="shared" si="83"/>
        <v>0</v>
      </c>
      <c r="I409" s="15">
        <f t="shared" si="83"/>
        <v>0</v>
      </c>
    </row>
    <row r="410" spans="1:10" ht="48" hidden="1" customHeight="1" x14ac:dyDescent="0.25">
      <c r="A410" s="255" t="s">
        <v>715</v>
      </c>
      <c r="B410" s="17">
        <v>954</v>
      </c>
      <c r="C410" s="6" t="s">
        <v>758</v>
      </c>
      <c r="D410" s="6" t="s">
        <v>108</v>
      </c>
      <c r="E410" s="6" t="s">
        <v>327</v>
      </c>
      <c r="F410" s="6" t="s">
        <v>714</v>
      </c>
      <c r="G410" s="11">
        <f t="shared" si="83"/>
        <v>0</v>
      </c>
      <c r="H410" s="13">
        <f t="shared" si="83"/>
        <v>0</v>
      </c>
      <c r="I410" s="13">
        <f t="shared" si="83"/>
        <v>0</v>
      </c>
    </row>
    <row r="411" spans="1:10" ht="20.25" hidden="1" customHeight="1" x14ac:dyDescent="0.25">
      <c r="A411" s="255" t="s">
        <v>124</v>
      </c>
      <c r="B411" s="17">
        <v>955</v>
      </c>
      <c r="C411" s="6" t="s">
        <v>758</v>
      </c>
      <c r="D411" s="6" t="s">
        <v>108</v>
      </c>
      <c r="E411" s="6" t="s">
        <v>327</v>
      </c>
      <c r="F411" s="6" t="s">
        <v>165</v>
      </c>
      <c r="G411" s="11"/>
      <c r="H411" s="13"/>
      <c r="I411" s="13"/>
    </row>
    <row r="412" spans="1:10" ht="119.45" hidden="1" customHeight="1" x14ac:dyDescent="0.25">
      <c r="A412" s="277" t="s">
        <v>950</v>
      </c>
      <c r="B412" s="17">
        <v>956</v>
      </c>
      <c r="C412" s="6" t="s">
        <v>758</v>
      </c>
      <c r="D412" s="6" t="s">
        <v>108</v>
      </c>
      <c r="E412" s="18" t="s">
        <v>328</v>
      </c>
      <c r="F412" s="18" t="s">
        <v>222</v>
      </c>
      <c r="G412" s="95">
        <f t="shared" ref="G412:I413" si="84">G413</f>
        <v>0</v>
      </c>
      <c r="H412" s="15">
        <f t="shared" si="84"/>
        <v>0</v>
      </c>
      <c r="I412" s="15">
        <f t="shared" si="84"/>
        <v>0</v>
      </c>
    </row>
    <row r="413" spans="1:10" ht="48" hidden="1" customHeight="1" x14ac:dyDescent="0.25">
      <c r="A413" s="255" t="s">
        <v>715</v>
      </c>
      <c r="B413" s="17">
        <v>957</v>
      </c>
      <c r="C413" s="6" t="s">
        <v>758</v>
      </c>
      <c r="D413" s="6" t="s">
        <v>108</v>
      </c>
      <c r="E413" s="6" t="s">
        <v>328</v>
      </c>
      <c r="F413" s="6" t="s">
        <v>714</v>
      </c>
      <c r="G413" s="11">
        <f t="shared" si="84"/>
        <v>0</v>
      </c>
      <c r="H413" s="13">
        <f t="shared" si="84"/>
        <v>0</v>
      </c>
      <c r="I413" s="13">
        <f t="shared" si="84"/>
        <v>0</v>
      </c>
    </row>
    <row r="414" spans="1:10" ht="15.75" hidden="1" customHeight="1" x14ac:dyDescent="0.25">
      <c r="A414" s="255" t="s">
        <v>124</v>
      </c>
      <c r="B414" s="17">
        <v>958</v>
      </c>
      <c r="C414" s="6" t="s">
        <v>758</v>
      </c>
      <c r="D414" s="6" t="s">
        <v>108</v>
      </c>
      <c r="E414" s="6" t="s">
        <v>328</v>
      </c>
      <c r="F414" s="6" t="s">
        <v>165</v>
      </c>
      <c r="G414" s="11"/>
      <c r="H414" s="13"/>
      <c r="I414" s="13"/>
    </row>
    <row r="415" spans="1:10" ht="46.15" hidden="1" customHeight="1" x14ac:dyDescent="0.25">
      <c r="A415" s="422" t="s">
        <v>533</v>
      </c>
      <c r="B415" s="41">
        <v>951</v>
      </c>
      <c r="C415" s="23" t="s">
        <v>758</v>
      </c>
      <c r="D415" s="23" t="s">
        <v>108</v>
      </c>
      <c r="E415" s="23" t="s">
        <v>59</v>
      </c>
      <c r="F415" s="23" t="s">
        <v>222</v>
      </c>
      <c r="G415" s="12">
        <f>G419+G416</f>
        <v>0</v>
      </c>
      <c r="H415" s="22">
        <f>H419+H416</f>
        <v>0</v>
      </c>
      <c r="I415" s="22">
        <f>I419+I416</f>
        <v>0</v>
      </c>
    </row>
    <row r="416" spans="1:10" ht="60" hidden="1" customHeight="1" x14ac:dyDescent="0.25">
      <c r="A416" s="255" t="s">
        <v>534</v>
      </c>
      <c r="B416" s="17">
        <v>951</v>
      </c>
      <c r="C416" s="6" t="s">
        <v>758</v>
      </c>
      <c r="D416" s="6" t="s">
        <v>108</v>
      </c>
      <c r="E416" s="6" t="s">
        <v>535</v>
      </c>
      <c r="F416" s="6" t="s">
        <v>222</v>
      </c>
      <c r="G416" s="11">
        <f t="shared" ref="G416:I417" si="85">G417</f>
        <v>0</v>
      </c>
      <c r="H416" s="13">
        <f t="shared" si="85"/>
        <v>0</v>
      </c>
      <c r="I416" s="13">
        <f t="shared" si="85"/>
        <v>0</v>
      </c>
    </row>
    <row r="417" spans="1:16" ht="46.9" hidden="1" customHeight="1" x14ac:dyDescent="0.25">
      <c r="A417" s="255" t="s">
        <v>715</v>
      </c>
      <c r="B417" s="17">
        <v>951</v>
      </c>
      <c r="C417" s="6" t="s">
        <v>758</v>
      </c>
      <c r="D417" s="6" t="s">
        <v>108</v>
      </c>
      <c r="E417" s="6" t="s">
        <v>535</v>
      </c>
      <c r="F417" s="6" t="s">
        <v>714</v>
      </c>
      <c r="G417" s="11">
        <f t="shared" si="85"/>
        <v>0</v>
      </c>
      <c r="H417" s="13">
        <f t="shared" si="85"/>
        <v>0</v>
      </c>
      <c r="I417" s="13">
        <f t="shared" si="85"/>
        <v>0</v>
      </c>
    </row>
    <row r="418" spans="1:16" ht="18" hidden="1" customHeight="1" x14ac:dyDescent="0.25">
      <c r="A418" s="255" t="s">
        <v>124</v>
      </c>
      <c r="B418" s="17">
        <v>951</v>
      </c>
      <c r="C418" s="6" t="s">
        <v>758</v>
      </c>
      <c r="D418" s="6" t="s">
        <v>108</v>
      </c>
      <c r="E418" s="6" t="s">
        <v>535</v>
      </c>
      <c r="F418" s="6" t="s">
        <v>165</v>
      </c>
      <c r="G418" s="11">
        <v>0</v>
      </c>
      <c r="H418" s="13">
        <v>0</v>
      </c>
      <c r="I418" s="13">
        <v>0</v>
      </c>
    </row>
    <row r="419" spans="1:16" ht="72.599999999999994" hidden="1" customHeight="1" x14ac:dyDescent="0.25">
      <c r="A419" s="255" t="s">
        <v>536</v>
      </c>
      <c r="B419" s="17">
        <v>951</v>
      </c>
      <c r="C419" s="6" t="s">
        <v>758</v>
      </c>
      <c r="D419" s="6" t="s">
        <v>108</v>
      </c>
      <c r="E419" s="6" t="s">
        <v>537</v>
      </c>
      <c r="F419" s="6" t="s">
        <v>222</v>
      </c>
      <c r="G419" s="11">
        <f t="shared" ref="G419:I420" si="86">G420</f>
        <v>0</v>
      </c>
      <c r="H419" s="13">
        <f t="shared" si="86"/>
        <v>0</v>
      </c>
      <c r="I419" s="13">
        <f t="shared" si="86"/>
        <v>0</v>
      </c>
    </row>
    <row r="420" spans="1:16" ht="48" hidden="1" customHeight="1" x14ac:dyDescent="0.25">
      <c r="A420" s="255" t="s">
        <v>715</v>
      </c>
      <c r="B420" s="17">
        <v>951</v>
      </c>
      <c r="C420" s="6" t="s">
        <v>758</v>
      </c>
      <c r="D420" s="6" t="s">
        <v>108</v>
      </c>
      <c r="E420" s="6" t="s">
        <v>537</v>
      </c>
      <c r="F420" s="6" t="s">
        <v>714</v>
      </c>
      <c r="G420" s="11">
        <f t="shared" si="86"/>
        <v>0</v>
      </c>
      <c r="H420" s="13">
        <f t="shared" si="86"/>
        <v>0</v>
      </c>
      <c r="I420" s="13">
        <f t="shared" si="86"/>
        <v>0</v>
      </c>
    </row>
    <row r="421" spans="1:16" ht="15.75" hidden="1" customHeight="1" x14ac:dyDescent="0.25">
      <c r="A421" s="255" t="s">
        <v>124</v>
      </c>
      <c r="B421" s="17">
        <v>951</v>
      </c>
      <c r="C421" s="6" t="s">
        <v>758</v>
      </c>
      <c r="D421" s="6" t="s">
        <v>108</v>
      </c>
      <c r="E421" s="6" t="s">
        <v>537</v>
      </c>
      <c r="F421" s="6" t="s">
        <v>165</v>
      </c>
      <c r="G421" s="11"/>
      <c r="H421" s="13"/>
      <c r="I421" s="13"/>
    </row>
    <row r="422" spans="1:16" ht="66.75" customHeight="1" x14ac:dyDescent="0.25">
      <c r="A422" s="266" t="s">
        <v>538</v>
      </c>
      <c r="B422" s="17" t="s">
        <v>117</v>
      </c>
      <c r="C422" s="20" t="s">
        <v>758</v>
      </c>
      <c r="D422" s="20" t="s">
        <v>108</v>
      </c>
      <c r="E422" s="20" t="s">
        <v>862</v>
      </c>
      <c r="F422" s="20" t="s">
        <v>222</v>
      </c>
      <c r="G422" s="99">
        <f>G426+G423</f>
        <v>102.06143</v>
      </c>
      <c r="H422" s="21">
        <f>H426+H423</f>
        <v>0</v>
      </c>
      <c r="I422" s="21">
        <f>I426+I423</f>
        <v>0</v>
      </c>
    </row>
    <row r="423" spans="1:16" ht="96" customHeight="1" x14ac:dyDescent="0.25">
      <c r="A423" s="255" t="s">
        <v>539</v>
      </c>
      <c r="B423" s="17" t="s">
        <v>117</v>
      </c>
      <c r="C423" s="6" t="s">
        <v>758</v>
      </c>
      <c r="D423" s="6" t="s">
        <v>108</v>
      </c>
      <c r="E423" s="6" t="s">
        <v>540</v>
      </c>
      <c r="F423" s="6" t="s">
        <v>222</v>
      </c>
      <c r="G423" s="11">
        <f t="shared" ref="G423:I424" si="87">G424</f>
        <v>102.04082</v>
      </c>
      <c r="H423" s="13">
        <f t="shared" si="87"/>
        <v>0</v>
      </c>
      <c r="I423" s="13">
        <f t="shared" si="87"/>
        <v>0</v>
      </c>
    </row>
    <row r="424" spans="1:16" ht="48" customHeight="1" x14ac:dyDescent="0.25">
      <c r="A424" s="255" t="s">
        <v>715</v>
      </c>
      <c r="B424" s="17" t="s">
        <v>117</v>
      </c>
      <c r="C424" s="6" t="s">
        <v>758</v>
      </c>
      <c r="D424" s="6" t="s">
        <v>108</v>
      </c>
      <c r="E424" s="6" t="s">
        <v>540</v>
      </c>
      <c r="F424" s="6" t="s">
        <v>714</v>
      </c>
      <c r="G424" s="11">
        <f t="shared" si="87"/>
        <v>102.04082</v>
      </c>
      <c r="H424" s="13">
        <f t="shared" si="87"/>
        <v>0</v>
      </c>
      <c r="I424" s="13">
        <f t="shared" si="87"/>
        <v>0</v>
      </c>
    </row>
    <row r="425" spans="1:16" ht="18" customHeight="1" x14ac:dyDescent="0.25">
      <c r="A425" s="254" t="s">
        <v>124</v>
      </c>
      <c r="B425" s="3" t="s">
        <v>117</v>
      </c>
      <c r="C425" s="4" t="s">
        <v>758</v>
      </c>
      <c r="D425" s="4" t="s">
        <v>108</v>
      </c>
      <c r="E425" s="4" t="s">
        <v>540</v>
      </c>
      <c r="F425" s="4" t="s">
        <v>165</v>
      </c>
      <c r="G425" s="11">
        <f>'5'!D162</f>
        <v>102.04082</v>
      </c>
      <c r="H425" s="11">
        <f>'5'!E162</f>
        <v>0</v>
      </c>
      <c r="I425" s="11">
        <f>'5'!F162</f>
        <v>0</v>
      </c>
    </row>
    <row r="426" spans="1:16" ht="110.25" customHeight="1" x14ac:dyDescent="0.25">
      <c r="A426" s="254" t="s">
        <v>541</v>
      </c>
      <c r="B426" s="3" t="s">
        <v>117</v>
      </c>
      <c r="C426" s="4" t="s">
        <v>758</v>
      </c>
      <c r="D426" s="4" t="s">
        <v>108</v>
      </c>
      <c r="E426" s="4" t="s">
        <v>540</v>
      </c>
      <c r="F426" s="4" t="s">
        <v>222</v>
      </c>
      <c r="G426" s="11">
        <f>G427</f>
        <v>2.061E-2</v>
      </c>
      <c r="H426" s="11">
        <f t="shared" ref="G426:I427" si="88">H427</f>
        <v>0</v>
      </c>
      <c r="I426" s="11">
        <f t="shared" si="88"/>
        <v>0</v>
      </c>
    </row>
    <row r="427" spans="1:16" ht="46.15" customHeight="1" x14ac:dyDescent="0.25">
      <c r="A427" s="254" t="s">
        <v>715</v>
      </c>
      <c r="B427" s="3" t="s">
        <v>117</v>
      </c>
      <c r="C427" s="4" t="s">
        <v>758</v>
      </c>
      <c r="D427" s="4" t="s">
        <v>108</v>
      </c>
      <c r="E427" s="4" t="s">
        <v>540</v>
      </c>
      <c r="F427" s="4" t="s">
        <v>714</v>
      </c>
      <c r="G427" s="11">
        <f t="shared" si="88"/>
        <v>2.061E-2</v>
      </c>
      <c r="H427" s="11">
        <f t="shared" si="88"/>
        <v>0</v>
      </c>
      <c r="I427" s="11">
        <f t="shared" si="88"/>
        <v>0</v>
      </c>
    </row>
    <row r="428" spans="1:16" ht="20.45" customHeight="1" x14ac:dyDescent="0.25">
      <c r="A428" s="254" t="s">
        <v>124</v>
      </c>
      <c r="B428" s="3" t="s">
        <v>117</v>
      </c>
      <c r="C428" s="4" t="s">
        <v>758</v>
      </c>
      <c r="D428" s="4" t="s">
        <v>108</v>
      </c>
      <c r="E428" s="4" t="s">
        <v>540</v>
      </c>
      <c r="F428" s="4" t="s">
        <v>165</v>
      </c>
      <c r="G428" s="11">
        <f>'5'!D163</f>
        <v>2.061E-2</v>
      </c>
      <c r="H428" s="11">
        <f>'5'!E163</f>
        <v>0</v>
      </c>
      <c r="I428" s="11">
        <f>'5'!F163</f>
        <v>0</v>
      </c>
    </row>
    <row r="429" spans="1:16" ht="75" customHeight="1" x14ac:dyDescent="0.25">
      <c r="A429" s="261" t="s">
        <v>613</v>
      </c>
      <c r="B429" s="3" t="s">
        <v>117</v>
      </c>
      <c r="C429" s="78" t="s">
        <v>758</v>
      </c>
      <c r="D429" s="78" t="s">
        <v>108</v>
      </c>
      <c r="E429" s="78" t="s">
        <v>862</v>
      </c>
      <c r="F429" s="78" t="s">
        <v>222</v>
      </c>
      <c r="G429" s="99">
        <f>G433+G430</f>
        <v>51.030719999999995</v>
      </c>
      <c r="H429" s="99">
        <f>H433+H430</f>
        <v>0</v>
      </c>
      <c r="I429" s="99">
        <f>I433+I430</f>
        <v>0</v>
      </c>
    </row>
    <row r="430" spans="1:16" ht="83.25" customHeight="1" x14ac:dyDescent="0.25">
      <c r="A430" s="254" t="s">
        <v>863</v>
      </c>
      <c r="B430" s="3" t="s">
        <v>117</v>
      </c>
      <c r="C430" s="4" t="s">
        <v>758</v>
      </c>
      <c r="D430" s="4" t="s">
        <v>108</v>
      </c>
      <c r="E430" s="4" t="s">
        <v>615</v>
      </c>
      <c r="F430" s="4" t="s">
        <v>222</v>
      </c>
      <c r="G430" s="11">
        <f t="shared" ref="G430:I431" si="89">G431</f>
        <v>51.020409999999998</v>
      </c>
      <c r="H430" s="11">
        <f t="shared" si="89"/>
        <v>0</v>
      </c>
      <c r="I430" s="11">
        <f t="shared" si="89"/>
        <v>0</v>
      </c>
      <c r="L430" s="175"/>
      <c r="M430" s="175"/>
      <c r="N430" s="175"/>
      <c r="O430" s="175"/>
      <c r="P430" s="175"/>
    </row>
    <row r="431" spans="1:16" ht="53.25" customHeight="1" x14ac:dyDescent="0.25">
      <c r="A431" s="254" t="s">
        <v>715</v>
      </c>
      <c r="B431" s="3" t="s">
        <v>117</v>
      </c>
      <c r="C431" s="4" t="s">
        <v>758</v>
      </c>
      <c r="D431" s="4" t="s">
        <v>108</v>
      </c>
      <c r="E431" s="4" t="s">
        <v>615</v>
      </c>
      <c r="F431" s="4" t="s">
        <v>714</v>
      </c>
      <c r="G431" s="11">
        <f t="shared" si="89"/>
        <v>51.020409999999998</v>
      </c>
      <c r="H431" s="11">
        <f t="shared" si="89"/>
        <v>0</v>
      </c>
      <c r="I431" s="11">
        <f t="shared" si="89"/>
        <v>0</v>
      </c>
    </row>
    <row r="432" spans="1:16" ht="20.45" customHeight="1" x14ac:dyDescent="0.25">
      <c r="A432" s="254" t="s">
        <v>124</v>
      </c>
      <c r="B432" s="3" t="s">
        <v>117</v>
      </c>
      <c r="C432" s="4" t="s">
        <v>758</v>
      </c>
      <c r="D432" s="4" t="s">
        <v>108</v>
      </c>
      <c r="E432" s="4" t="s">
        <v>615</v>
      </c>
      <c r="F432" s="4" t="s">
        <v>165</v>
      </c>
      <c r="G432" s="11">
        <f>'5'!D165</f>
        <v>51.020409999999998</v>
      </c>
      <c r="H432" s="11">
        <f>'5'!E165</f>
        <v>0</v>
      </c>
      <c r="I432" s="11">
        <f>'5'!F165</f>
        <v>0</v>
      </c>
    </row>
    <row r="433" spans="1:16" ht="113.25" customHeight="1" x14ac:dyDescent="0.25">
      <c r="A433" s="255" t="s">
        <v>864</v>
      </c>
      <c r="B433" s="17" t="s">
        <v>117</v>
      </c>
      <c r="C433" s="6" t="s">
        <v>758</v>
      </c>
      <c r="D433" s="6" t="s">
        <v>108</v>
      </c>
      <c r="E433" s="6" t="s">
        <v>615</v>
      </c>
      <c r="F433" s="6" t="s">
        <v>222</v>
      </c>
      <c r="G433" s="11">
        <f t="shared" ref="G433:I434" si="90">G434</f>
        <v>1.031E-2</v>
      </c>
      <c r="H433" s="11">
        <f t="shared" si="90"/>
        <v>0</v>
      </c>
      <c r="I433" s="11">
        <f t="shared" si="90"/>
        <v>0</v>
      </c>
    </row>
    <row r="434" spans="1:16" ht="48" customHeight="1" x14ac:dyDescent="0.25">
      <c r="A434" s="255" t="s">
        <v>715</v>
      </c>
      <c r="B434" s="17" t="s">
        <v>117</v>
      </c>
      <c r="C434" s="6" t="s">
        <v>758</v>
      </c>
      <c r="D434" s="6" t="s">
        <v>108</v>
      </c>
      <c r="E434" s="6" t="s">
        <v>615</v>
      </c>
      <c r="F434" s="6" t="s">
        <v>714</v>
      </c>
      <c r="G434" s="11">
        <f t="shared" si="90"/>
        <v>1.031E-2</v>
      </c>
      <c r="H434" s="11">
        <f t="shared" si="90"/>
        <v>0</v>
      </c>
      <c r="I434" s="11">
        <f t="shared" si="90"/>
        <v>0</v>
      </c>
      <c r="L434" s="175"/>
      <c r="M434" s="175"/>
      <c r="N434" s="175"/>
      <c r="O434" s="175"/>
      <c r="P434" s="175"/>
    </row>
    <row r="435" spans="1:16" ht="20.45" customHeight="1" x14ac:dyDescent="0.25">
      <c r="A435" s="255" t="s">
        <v>124</v>
      </c>
      <c r="B435" s="17" t="s">
        <v>117</v>
      </c>
      <c r="C435" s="6" t="s">
        <v>758</v>
      </c>
      <c r="D435" s="6" t="s">
        <v>108</v>
      </c>
      <c r="E435" s="4" t="s">
        <v>615</v>
      </c>
      <c r="F435" s="4" t="s">
        <v>165</v>
      </c>
      <c r="G435" s="11">
        <f>'5'!D166</f>
        <v>1.031E-2</v>
      </c>
      <c r="H435" s="11">
        <f>'5'!E166</f>
        <v>0</v>
      </c>
      <c r="I435" s="11">
        <f>'5'!F166</f>
        <v>0</v>
      </c>
    </row>
    <row r="436" spans="1:16" ht="46.15" customHeight="1" x14ac:dyDescent="0.25">
      <c r="A436" s="422" t="s">
        <v>859</v>
      </c>
      <c r="B436" s="41" t="s">
        <v>117</v>
      </c>
      <c r="C436" s="23" t="s">
        <v>758</v>
      </c>
      <c r="D436" s="23" t="s">
        <v>108</v>
      </c>
      <c r="E436" s="23" t="s">
        <v>59</v>
      </c>
      <c r="F436" s="23" t="s">
        <v>222</v>
      </c>
      <c r="G436" s="12">
        <f>G437+G439</f>
        <v>9285.8253499999992</v>
      </c>
      <c r="H436" s="22">
        <f>H437+H439</f>
        <v>0</v>
      </c>
      <c r="I436" s="22">
        <f>I437+I439</f>
        <v>0</v>
      </c>
    </row>
    <row r="437" spans="1:16" ht="80.25" customHeight="1" x14ac:dyDescent="0.25">
      <c r="A437" s="277" t="s">
        <v>860</v>
      </c>
      <c r="B437" s="42" t="s">
        <v>117</v>
      </c>
      <c r="C437" s="18" t="s">
        <v>758</v>
      </c>
      <c r="D437" s="18" t="s">
        <v>108</v>
      </c>
      <c r="E437" s="18" t="s">
        <v>465</v>
      </c>
      <c r="F437" s="18" t="s">
        <v>714</v>
      </c>
      <c r="G437" s="95">
        <f>G438</f>
        <v>9192.9670999999998</v>
      </c>
      <c r="H437" s="15">
        <f>H438</f>
        <v>0</v>
      </c>
      <c r="I437" s="15">
        <f>I438</f>
        <v>0</v>
      </c>
    </row>
    <row r="438" spans="1:16" ht="21" customHeight="1" x14ac:dyDescent="0.25">
      <c r="A438" s="255" t="s">
        <v>124</v>
      </c>
      <c r="B438" s="42" t="s">
        <v>117</v>
      </c>
      <c r="C438" s="18" t="s">
        <v>758</v>
      </c>
      <c r="D438" s="18" t="s">
        <v>108</v>
      </c>
      <c r="E438" s="18" t="s">
        <v>465</v>
      </c>
      <c r="F438" s="6" t="s">
        <v>165</v>
      </c>
      <c r="G438" s="11">
        <f>'5'!D156</f>
        <v>9192.9670999999998</v>
      </c>
      <c r="H438" s="11">
        <f>'5'!E156</f>
        <v>0</v>
      </c>
      <c r="I438" s="11">
        <f>'5'!F156</f>
        <v>0</v>
      </c>
    </row>
    <row r="439" spans="1:16" ht="95.25" customHeight="1" x14ac:dyDescent="0.25">
      <c r="A439" s="277" t="s">
        <v>464</v>
      </c>
      <c r="B439" s="42" t="s">
        <v>117</v>
      </c>
      <c r="C439" s="18" t="s">
        <v>758</v>
      </c>
      <c r="D439" s="18" t="s">
        <v>108</v>
      </c>
      <c r="E439" s="18" t="s">
        <v>466</v>
      </c>
      <c r="F439" s="18" t="s">
        <v>714</v>
      </c>
      <c r="G439" s="95">
        <f>G440</f>
        <v>92.858249999999998</v>
      </c>
      <c r="H439" s="15">
        <f>H440</f>
        <v>0</v>
      </c>
      <c r="I439" s="15">
        <f>I440</f>
        <v>0</v>
      </c>
    </row>
    <row r="440" spans="1:16" ht="21.75" customHeight="1" x14ac:dyDescent="0.25">
      <c r="A440" s="255" t="s">
        <v>124</v>
      </c>
      <c r="B440" s="42" t="s">
        <v>117</v>
      </c>
      <c r="C440" s="18" t="s">
        <v>758</v>
      </c>
      <c r="D440" s="18" t="s">
        <v>108</v>
      </c>
      <c r="E440" s="18" t="s">
        <v>466</v>
      </c>
      <c r="F440" s="6" t="s">
        <v>165</v>
      </c>
      <c r="G440" s="11">
        <f>'5'!D157</f>
        <v>92.858249999999998</v>
      </c>
      <c r="H440" s="11">
        <f>'5'!E157</f>
        <v>0</v>
      </c>
      <c r="I440" s="11">
        <f>'5'!F157</f>
        <v>0</v>
      </c>
    </row>
    <row r="441" spans="1:16" ht="15.75" hidden="1" customHeight="1" x14ac:dyDescent="0.25">
      <c r="A441" s="255"/>
      <c r="B441" s="17"/>
      <c r="C441" s="6"/>
      <c r="D441" s="6"/>
      <c r="E441" s="6"/>
      <c r="F441" s="6"/>
      <c r="G441" s="11"/>
      <c r="H441" s="13"/>
      <c r="I441" s="13"/>
    </row>
    <row r="442" spans="1:16" ht="89.25" hidden="1" customHeight="1" x14ac:dyDescent="0.25">
      <c r="A442" s="255" t="s">
        <v>407</v>
      </c>
      <c r="B442" s="17">
        <v>951</v>
      </c>
      <c r="C442" s="6" t="s">
        <v>758</v>
      </c>
      <c r="D442" s="6" t="s">
        <v>108</v>
      </c>
      <c r="E442" s="6" t="s">
        <v>424</v>
      </c>
      <c r="F442" s="6" t="s">
        <v>222</v>
      </c>
      <c r="G442" s="11">
        <f>G443</f>
        <v>0</v>
      </c>
      <c r="H442" s="13">
        <f>H443</f>
        <v>0</v>
      </c>
      <c r="I442" s="13">
        <f>I443</f>
        <v>0</v>
      </c>
    </row>
    <row r="443" spans="1:16" ht="15.75" hidden="1" customHeight="1" x14ac:dyDescent="0.25">
      <c r="A443" s="255" t="s">
        <v>124</v>
      </c>
      <c r="B443" s="17">
        <v>951</v>
      </c>
      <c r="C443" s="6" t="s">
        <v>758</v>
      </c>
      <c r="D443" s="6" t="s">
        <v>108</v>
      </c>
      <c r="E443" s="6" t="s">
        <v>424</v>
      </c>
      <c r="F443" s="6" t="s">
        <v>165</v>
      </c>
      <c r="G443" s="11"/>
      <c r="H443" s="13"/>
      <c r="I443" s="13"/>
    </row>
    <row r="444" spans="1:16" s="175" customFormat="1" ht="68.25" customHeight="1" x14ac:dyDescent="0.25">
      <c r="A444" s="274" t="s">
        <v>293</v>
      </c>
      <c r="B444" s="41">
        <v>951</v>
      </c>
      <c r="C444" s="23" t="s">
        <v>758</v>
      </c>
      <c r="D444" s="23" t="s">
        <v>108</v>
      </c>
      <c r="E444" s="23" t="s">
        <v>62</v>
      </c>
      <c r="F444" s="23" t="s">
        <v>222</v>
      </c>
      <c r="G444" s="12">
        <f>G445</f>
        <v>4903.3999999999996</v>
      </c>
      <c r="H444" s="22">
        <f t="shared" ref="H444:I446" si="91">H445</f>
        <v>3524.1</v>
      </c>
      <c r="I444" s="22">
        <f t="shared" si="91"/>
        <v>3524.1</v>
      </c>
      <c r="L444" s="7"/>
      <c r="M444" s="7"/>
      <c r="N444" s="7"/>
      <c r="O444" s="7"/>
      <c r="P444" s="7"/>
    </row>
    <row r="445" spans="1:16" ht="51" customHeight="1" x14ac:dyDescent="0.25">
      <c r="A445" s="255" t="s">
        <v>715</v>
      </c>
      <c r="B445" s="17">
        <v>951</v>
      </c>
      <c r="C445" s="6" t="s">
        <v>758</v>
      </c>
      <c r="D445" s="6" t="s">
        <v>108</v>
      </c>
      <c r="E445" s="6" t="s">
        <v>62</v>
      </c>
      <c r="F445" s="6" t="s">
        <v>222</v>
      </c>
      <c r="G445" s="11">
        <f>G446</f>
        <v>4903.3999999999996</v>
      </c>
      <c r="H445" s="13">
        <f t="shared" si="91"/>
        <v>3524.1</v>
      </c>
      <c r="I445" s="13">
        <f t="shared" si="91"/>
        <v>3524.1</v>
      </c>
    </row>
    <row r="446" spans="1:16" ht="30" x14ac:dyDescent="0.25">
      <c r="A446" s="255" t="s">
        <v>951</v>
      </c>
      <c r="B446" s="17">
        <v>951</v>
      </c>
      <c r="C446" s="6" t="s">
        <v>758</v>
      </c>
      <c r="D446" s="6" t="s">
        <v>108</v>
      </c>
      <c r="E446" s="6" t="s">
        <v>62</v>
      </c>
      <c r="F446" s="6" t="s">
        <v>714</v>
      </c>
      <c r="G446" s="11">
        <f>G447</f>
        <v>4903.3999999999996</v>
      </c>
      <c r="H446" s="13">
        <f t="shared" si="91"/>
        <v>3524.1</v>
      </c>
      <c r="I446" s="13">
        <f t="shared" si="91"/>
        <v>3524.1</v>
      </c>
    </row>
    <row r="447" spans="1:16" ht="16.5" customHeight="1" x14ac:dyDescent="0.25">
      <c r="A447" s="255" t="s">
        <v>124</v>
      </c>
      <c r="B447" s="17">
        <v>951</v>
      </c>
      <c r="C447" s="6" t="s">
        <v>758</v>
      </c>
      <c r="D447" s="6" t="s">
        <v>108</v>
      </c>
      <c r="E447" s="6" t="s">
        <v>62</v>
      </c>
      <c r="F447" s="6" t="s">
        <v>165</v>
      </c>
      <c r="G447" s="11">
        <f>'5'!D168</f>
        <v>4903.3999999999996</v>
      </c>
      <c r="H447" s="11">
        <f>'5'!E168</f>
        <v>3524.1</v>
      </c>
      <c r="I447" s="11">
        <f>'5'!F168</f>
        <v>3524.1</v>
      </c>
    </row>
    <row r="448" spans="1:16" s="175" customFormat="1" ht="104.25" customHeight="1" x14ac:dyDescent="0.25">
      <c r="A448" s="422" t="s">
        <v>853</v>
      </c>
      <c r="B448" s="41">
        <v>951</v>
      </c>
      <c r="C448" s="23" t="s">
        <v>758</v>
      </c>
      <c r="D448" s="23" t="s">
        <v>108</v>
      </c>
      <c r="E448" s="85" t="s">
        <v>854</v>
      </c>
      <c r="F448" s="23" t="s">
        <v>222</v>
      </c>
      <c r="G448" s="22">
        <f>G449+G450</f>
        <v>1611.31423</v>
      </c>
      <c r="H448" s="22">
        <f>H449+H450</f>
        <v>0</v>
      </c>
      <c r="I448" s="22">
        <f>I449+I450</f>
        <v>0</v>
      </c>
      <c r="L448" s="7"/>
      <c r="M448" s="7"/>
      <c r="N448" s="7"/>
      <c r="O448" s="7"/>
      <c r="P448" s="7"/>
    </row>
    <row r="449" spans="1:16" ht="108.75" customHeight="1" x14ac:dyDescent="0.25">
      <c r="A449" s="255" t="s">
        <v>952</v>
      </c>
      <c r="B449" s="17">
        <v>951</v>
      </c>
      <c r="C449" s="6" t="s">
        <v>758</v>
      </c>
      <c r="D449" s="6" t="s">
        <v>108</v>
      </c>
      <c r="E449" s="4" t="s">
        <v>551</v>
      </c>
      <c r="F449" s="6" t="s">
        <v>165</v>
      </c>
      <c r="G449" s="13">
        <f>'5'!D170</f>
        <v>1608.7142899999999</v>
      </c>
      <c r="H449" s="13">
        <f>'5'!E170</f>
        <v>0</v>
      </c>
      <c r="I449" s="13">
        <f>'5'!F170</f>
        <v>0</v>
      </c>
    </row>
    <row r="450" spans="1:16" ht="129.75" customHeight="1" x14ac:dyDescent="0.25">
      <c r="A450" s="255" t="s">
        <v>953</v>
      </c>
      <c r="B450" s="17">
        <v>951</v>
      </c>
      <c r="C450" s="6" t="s">
        <v>758</v>
      </c>
      <c r="D450" s="6" t="s">
        <v>108</v>
      </c>
      <c r="E450" s="4" t="s">
        <v>551</v>
      </c>
      <c r="F450" s="6" t="s">
        <v>165</v>
      </c>
      <c r="G450" s="11">
        <f>'5'!D171</f>
        <v>2.5999400000000001</v>
      </c>
      <c r="H450" s="13">
        <f>'5'!E171</f>
        <v>0</v>
      </c>
      <c r="I450" s="13">
        <f>'5'!F171</f>
        <v>0</v>
      </c>
    </row>
    <row r="451" spans="1:16" ht="66" customHeight="1" x14ac:dyDescent="0.25">
      <c r="A451" s="422" t="s">
        <v>329</v>
      </c>
      <c r="B451" s="41">
        <v>951</v>
      </c>
      <c r="C451" s="23" t="s">
        <v>758</v>
      </c>
      <c r="D451" s="23" t="s">
        <v>108</v>
      </c>
      <c r="E451" s="23" t="s">
        <v>330</v>
      </c>
      <c r="F451" s="23" t="s">
        <v>222</v>
      </c>
      <c r="G451" s="22">
        <f>G455+G452</f>
        <v>169.70202</v>
      </c>
      <c r="H451" s="22">
        <f>H455+H452</f>
        <v>169.70202</v>
      </c>
      <c r="I451" s="22">
        <f>I455+I452</f>
        <v>169.70202</v>
      </c>
      <c r="L451" s="48"/>
      <c r="M451" s="48"/>
      <c r="N451" s="48"/>
      <c r="O451" s="48"/>
      <c r="P451" s="48"/>
    </row>
    <row r="452" spans="1:16" ht="81.75" customHeight="1" x14ac:dyDescent="0.25">
      <c r="A452" s="255" t="s">
        <v>954</v>
      </c>
      <c r="B452" s="17">
        <v>951</v>
      </c>
      <c r="C452" s="6" t="s">
        <v>758</v>
      </c>
      <c r="D452" s="6" t="s">
        <v>108</v>
      </c>
      <c r="E452" s="6" t="s">
        <v>331</v>
      </c>
      <c r="F452" s="6" t="s">
        <v>222</v>
      </c>
      <c r="G452" s="13">
        <f t="shared" ref="G452:I453" si="92">G453</f>
        <v>168.005</v>
      </c>
      <c r="H452" s="13">
        <f t="shared" si="92"/>
        <v>168.005</v>
      </c>
      <c r="I452" s="13">
        <f t="shared" si="92"/>
        <v>168.005</v>
      </c>
    </row>
    <row r="453" spans="1:16" ht="48.75" customHeight="1" x14ac:dyDescent="0.25">
      <c r="A453" s="255" t="s">
        <v>715</v>
      </c>
      <c r="B453" s="17">
        <v>951</v>
      </c>
      <c r="C453" s="6" t="s">
        <v>758</v>
      </c>
      <c r="D453" s="6" t="s">
        <v>108</v>
      </c>
      <c r="E453" s="6" t="s">
        <v>331</v>
      </c>
      <c r="F453" s="6" t="s">
        <v>714</v>
      </c>
      <c r="G453" s="13">
        <f t="shared" si="92"/>
        <v>168.005</v>
      </c>
      <c r="H453" s="13">
        <f t="shared" si="92"/>
        <v>168.005</v>
      </c>
      <c r="I453" s="13">
        <f t="shared" si="92"/>
        <v>168.005</v>
      </c>
    </row>
    <row r="454" spans="1:16" ht="20.25" customHeight="1" x14ac:dyDescent="0.25">
      <c r="A454" s="255" t="s">
        <v>124</v>
      </c>
      <c r="B454" s="17">
        <v>951</v>
      </c>
      <c r="C454" s="6" t="s">
        <v>758</v>
      </c>
      <c r="D454" s="6" t="s">
        <v>108</v>
      </c>
      <c r="E454" s="6" t="s">
        <v>331</v>
      </c>
      <c r="F454" s="6" t="s">
        <v>165</v>
      </c>
      <c r="G454" s="13">
        <f>'5'!D173</f>
        <v>168.005</v>
      </c>
      <c r="H454" s="13">
        <v>168.005</v>
      </c>
      <c r="I454" s="13">
        <v>168.005</v>
      </c>
    </row>
    <row r="455" spans="1:16" ht="99.75" customHeight="1" x14ac:dyDescent="0.25">
      <c r="A455" s="255" t="s">
        <v>955</v>
      </c>
      <c r="B455" s="17">
        <v>951</v>
      </c>
      <c r="C455" s="6" t="s">
        <v>758</v>
      </c>
      <c r="D455" s="6" t="s">
        <v>108</v>
      </c>
      <c r="E455" s="6" t="s">
        <v>582</v>
      </c>
      <c r="F455" s="6" t="s">
        <v>222</v>
      </c>
      <c r="G455" s="13">
        <f t="shared" ref="G455:I456" si="93">G456</f>
        <v>1.69702</v>
      </c>
      <c r="H455" s="13">
        <f t="shared" si="93"/>
        <v>1.69702</v>
      </c>
      <c r="I455" s="13">
        <f t="shared" si="93"/>
        <v>1.69702</v>
      </c>
    </row>
    <row r="456" spans="1:16" ht="52.5" customHeight="1" x14ac:dyDescent="0.25">
      <c r="A456" s="255" t="s">
        <v>715</v>
      </c>
      <c r="B456" s="17">
        <v>951</v>
      </c>
      <c r="C456" s="6" t="s">
        <v>758</v>
      </c>
      <c r="D456" s="6" t="s">
        <v>108</v>
      </c>
      <c r="E456" s="6" t="s">
        <v>582</v>
      </c>
      <c r="F456" s="6" t="s">
        <v>714</v>
      </c>
      <c r="G456" s="13">
        <f t="shared" si="93"/>
        <v>1.69702</v>
      </c>
      <c r="H456" s="13">
        <f t="shared" si="93"/>
        <v>1.69702</v>
      </c>
      <c r="I456" s="13">
        <f t="shared" si="93"/>
        <v>1.69702</v>
      </c>
    </row>
    <row r="457" spans="1:16" ht="18" customHeight="1" x14ac:dyDescent="0.25">
      <c r="A457" s="255" t="s">
        <v>124</v>
      </c>
      <c r="B457" s="17">
        <v>951</v>
      </c>
      <c r="C457" s="6" t="s">
        <v>758</v>
      </c>
      <c r="D457" s="6" t="s">
        <v>108</v>
      </c>
      <c r="E457" s="6" t="s">
        <v>582</v>
      </c>
      <c r="F457" s="6" t="s">
        <v>165</v>
      </c>
      <c r="G457" s="13">
        <f>'5'!D174</f>
        <v>1.69702</v>
      </c>
      <c r="H457" s="13">
        <v>1.69702</v>
      </c>
      <c r="I457" s="13">
        <v>1.69702</v>
      </c>
    </row>
    <row r="458" spans="1:16" ht="111.75" customHeight="1" x14ac:dyDescent="0.25">
      <c r="A458" s="274" t="s">
        <v>294</v>
      </c>
      <c r="B458" s="17" t="s">
        <v>117</v>
      </c>
      <c r="C458" s="6" t="s">
        <v>758</v>
      </c>
      <c r="D458" s="6" t="s">
        <v>108</v>
      </c>
      <c r="E458" s="6" t="s">
        <v>63</v>
      </c>
      <c r="F458" s="6" t="s">
        <v>222</v>
      </c>
      <c r="G458" s="13">
        <f>G459</f>
        <v>2879.8999999999996</v>
      </c>
      <c r="H458" s="13">
        <f>H459</f>
        <v>1949.5</v>
      </c>
      <c r="I458" s="13">
        <f t="shared" ref="G458:I459" si="94">I459</f>
        <v>1949.5</v>
      </c>
    </row>
    <row r="459" spans="1:16" ht="48" customHeight="1" x14ac:dyDescent="0.25">
      <c r="A459" s="255" t="s">
        <v>715</v>
      </c>
      <c r="B459" s="17" t="s">
        <v>117</v>
      </c>
      <c r="C459" s="6" t="s">
        <v>758</v>
      </c>
      <c r="D459" s="6" t="s">
        <v>108</v>
      </c>
      <c r="E459" s="6" t="s">
        <v>63</v>
      </c>
      <c r="F459" s="6" t="s">
        <v>714</v>
      </c>
      <c r="G459" s="13">
        <f t="shared" si="94"/>
        <v>2879.8999999999996</v>
      </c>
      <c r="H459" s="13">
        <f t="shared" si="94"/>
        <v>1949.5</v>
      </c>
      <c r="I459" s="13">
        <f t="shared" si="94"/>
        <v>1949.5</v>
      </c>
    </row>
    <row r="460" spans="1:16" ht="20.25" customHeight="1" x14ac:dyDescent="0.25">
      <c r="A460" s="255" t="s">
        <v>124</v>
      </c>
      <c r="B460" s="17" t="s">
        <v>117</v>
      </c>
      <c r="C460" s="6" t="s">
        <v>758</v>
      </c>
      <c r="D460" s="6" t="s">
        <v>108</v>
      </c>
      <c r="E460" s="6" t="s">
        <v>63</v>
      </c>
      <c r="F460" s="6" t="s">
        <v>165</v>
      </c>
      <c r="G460" s="13">
        <f>'5'!D176</f>
        <v>2879.8999999999996</v>
      </c>
      <c r="H460" s="13">
        <f>'5'!E176</f>
        <v>1949.5</v>
      </c>
      <c r="I460" s="13">
        <f>'5'!F176</f>
        <v>1949.5</v>
      </c>
    </row>
    <row r="461" spans="1:16" ht="75" hidden="1" x14ac:dyDescent="0.25">
      <c r="A461" s="255" t="s">
        <v>956</v>
      </c>
      <c r="B461" s="17" t="s">
        <v>117</v>
      </c>
      <c r="C461" s="6" t="s">
        <v>758</v>
      </c>
      <c r="D461" s="6" t="s">
        <v>108</v>
      </c>
      <c r="E461" s="6" t="s">
        <v>957</v>
      </c>
      <c r="F461" s="6" t="s">
        <v>222</v>
      </c>
      <c r="G461" s="13">
        <f t="shared" ref="G461:I462" si="95">G462</f>
        <v>0</v>
      </c>
      <c r="H461" s="13">
        <f t="shared" si="95"/>
        <v>0</v>
      </c>
      <c r="I461" s="13">
        <f t="shared" si="95"/>
        <v>0</v>
      </c>
    </row>
    <row r="462" spans="1:16" ht="45" hidden="1" x14ac:dyDescent="0.25">
      <c r="A462" s="255" t="s">
        <v>715</v>
      </c>
      <c r="B462" s="17" t="s">
        <v>117</v>
      </c>
      <c r="C462" s="6" t="s">
        <v>758</v>
      </c>
      <c r="D462" s="6" t="s">
        <v>108</v>
      </c>
      <c r="E462" s="6" t="s">
        <v>957</v>
      </c>
      <c r="F462" s="6" t="s">
        <v>714</v>
      </c>
      <c r="G462" s="13">
        <f t="shared" si="95"/>
        <v>0</v>
      </c>
      <c r="H462" s="13">
        <f t="shared" si="95"/>
        <v>0</v>
      </c>
      <c r="I462" s="13">
        <f t="shared" si="95"/>
        <v>0</v>
      </c>
      <c r="L462" s="175"/>
      <c r="M462" s="175"/>
      <c r="N462" s="175"/>
      <c r="O462" s="175"/>
      <c r="P462" s="175"/>
    </row>
    <row r="463" spans="1:16" hidden="1" x14ac:dyDescent="0.25">
      <c r="A463" s="255" t="s">
        <v>124</v>
      </c>
      <c r="B463" s="17" t="s">
        <v>117</v>
      </c>
      <c r="C463" s="6" t="s">
        <v>758</v>
      </c>
      <c r="D463" s="6" t="s">
        <v>108</v>
      </c>
      <c r="E463" s="6" t="s">
        <v>957</v>
      </c>
      <c r="F463" s="6" t="s">
        <v>165</v>
      </c>
      <c r="G463" s="13"/>
      <c r="H463" s="13"/>
      <c r="I463" s="13"/>
    </row>
    <row r="464" spans="1:16" ht="30" x14ac:dyDescent="0.25">
      <c r="A464" s="301" t="s">
        <v>865</v>
      </c>
      <c r="B464" s="179">
        <v>951</v>
      </c>
      <c r="C464" s="180" t="s">
        <v>758</v>
      </c>
      <c r="D464" s="180" t="s">
        <v>113</v>
      </c>
      <c r="E464" s="180" t="s">
        <v>666</v>
      </c>
      <c r="F464" s="180" t="s">
        <v>222</v>
      </c>
      <c r="G464" s="181">
        <f>G465+G492+G494+G489+G497</f>
        <v>3458.0109000000002</v>
      </c>
      <c r="H464" s="181">
        <f>H465+H492+H494+H489+H497</f>
        <v>1471.2</v>
      </c>
      <c r="I464" s="181">
        <f>I465+I492+I494+I489+I497</f>
        <v>1471.2</v>
      </c>
    </row>
    <row r="465" spans="1:16" s="48" customFormat="1" ht="62.25" customHeight="1" x14ac:dyDescent="0.25">
      <c r="A465" s="266" t="s">
        <v>850</v>
      </c>
      <c r="B465" s="19" t="s">
        <v>117</v>
      </c>
      <c r="C465" s="20" t="s">
        <v>758</v>
      </c>
      <c r="D465" s="20" t="s">
        <v>113</v>
      </c>
      <c r="E465" s="20" t="s">
        <v>958</v>
      </c>
      <c r="F465" s="20" t="s">
        <v>222</v>
      </c>
      <c r="G465" s="21">
        <f>G466+G469+G476+G479+G482</f>
        <v>2920.2959000000001</v>
      </c>
      <c r="H465" s="21">
        <f>H466+H469+H476+H479+H482</f>
        <v>1347.2</v>
      </c>
      <c r="I465" s="21">
        <f>I466+I469+I476+I479+I482</f>
        <v>1347.2</v>
      </c>
      <c r="L465" s="175"/>
      <c r="M465" s="175"/>
      <c r="N465" s="175"/>
      <c r="O465" s="175"/>
      <c r="P465" s="175"/>
    </row>
    <row r="466" spans="1:16" ht="37.5" customHeight="1" x14ac:dyDescent="0.25">
      <c r="A466" s="274" t="s">
        <v>866</v>
      </c>
      <c r="B466" s="17">
        <v>951</v>
      </c>
      <c r="C466" s="6" t="s">
        <v>758</v>
      </c>
      <c r="D466" s="6" t="s">
        <v>113</v>
      </c>
      <c r="E466" s="6" t="s">
        <v>64</v>
      </c>
      <c r="F466" s="6" t="s">
        <v>222</v>
      </c>
      <c r="G466" s="13">
        <f t="shared" ref="G466:I467" si="96">G467</f>
        <v>2198.1999999999998</v>
      </c>
      <c r="H466" s="13">
        <f t="shared" si="96"/>
        <v>1347.2</v>
      </c>
      <c r="I466" s="13">
        <f t="shared" si="96"/>
        <v>1347.2</v>
      </c>
    </row>
    <row r="467" spans="1:16" ht="46.15" customHeight="1" x14ac:dyDescent="0.25">
      <c r="A467" s="255" t="s">
        <v>715</v>
      </c>
      <c r="B467" s="17">
        <v>951</v>
      </c>
      <c r="C467" s="6" t="s">
        <v>758</v>
      </c>
      <c r="D467" s="6" t="s">
        <v>113</v>
      </c>
      <c r="E467" s="6" t="s">
        <v>64</v>
      </c>
      <c r="F467" s="6" t="s">
        <v>714</v>
      </c>
      <c r="G467" s="13">
        <f t="shared" si="96"/>
        <v>2198.1999999999998</v>
      </c>
      <c r="H467" s="13">
        <f t="shared" si="96"/>
        <v>1347.2</v>
      </c>
      <c r="I467" s="13">
        <f t="shared" si="96"/>
        <v>1347.2</v>
      </c>
    </row>
    <row r="468" spans="1:16" ht="17.100000000000001" customHeight="1" x14ac:dyDescent="0.25">
      <c r="A468" s="255" t="s">
        <v>124</v>
      </c>
      <c r="B468" s="17">
        <v>951</v>
      </c>
      <c r="C468" s="6" t="s">
        <v>758</v>
      </c>
      <c r="D468" s="6" t="s">
        <v>113</v>
      </c>
      <c r="E468" s="6" t="s">
        <v>64</v>
      </c>
      <c r="F468" s="6" t="s">
        <v>165</v>
      </c>
      <c r="G468" s="13">
        <f>'5'!D181</f>
        <v>2198.1999999999998</v>
      </c>
      <c r="H468" s="13">
        <f>'5'!E181</f>
        <v>1347.2</v>
      </c>
      <c r="I468" s="13">
        <f>'5'!F181</f>
        <v>1347.2</v>
      </c>
      <c r="L468" s="47"/>
      <c r="M468" s="47"/>
      <c r="N468" s="47"/>
      <c r="O468" s="47"/>
      <c r="P468" s="47"/>
    </row>
    <row r="469" spans="1:16" ht="43.9" hidden="1" customHeight="1" x14ac:dyDescent="0.25">
      <c r="A469" s="422" t="s">
        <v>462</v>
      </c>
      <c r="B469" s="41" t="s">
        <v>117</v>
      </c>
      <c r="C469" s="23" t="s">
        <v>758</v>
      </c>
      <c r="D469" s="23" t="s">
        <v>113</v>
      </c>
      <c r="E469" s="23" t="s">
        <v>59</v>
      </c>
      <c r="F469" s="23" t="s">
        <v>222</v>
      </c>
      <c r="G469" s="22">
        <f>G473+G470</f>
        <v>0</v>
      </c>
      <c r="H469" s="22">
        <f>H473+H470</f>
        <v>0</v>
      </c>
      <c r="I469" s="22">
        <f>I473+I470</f>
        <v>0</v>
      </c>
      <c r="L469" s="175"/>
      <c r="M469" s="175"/>
      <c r="N469" s="175"/>
      <c r="O469" s="175"/>
      <c r="P469" s="175"/>
    </row>
    <row r="470" spans="1:16" ht="55.9" hidden="1" customHeight="1" x14ac:dyDescent="0.25">
      <c r="A470" s="277" t="s">
        <v>463</v>
      </c>
      <c r="B470" s="17" t="s">
        <v>117</v>
      </c>
      <c r="C470" s="6" t="s">
        <v>758</v>
      </c>
      <c r="D470" s="6" t="s">
        <v>113</v>
      </c>
      <c r="E470" s="6" t="s">
        <v>465</v>
      </c>
      <c r="F470" s="6" t="s">
        <v>222</v>
      </c>
      <c r="G470" s="13">
        <f t="shared" ref="G470:I471" si="97">G471</f>
        <v>0</v>
      </c>
      <c r="H470" s="13">
        <f t="shared" si="97"/>
        <v>0</v>
      </c>
      <c r="I470" s="13">
        <f t="shared" si="97"/>
        <v>0</v>
      </c>
    </row>
    <row r="471" spans="1:16" ht="45" hidden="1" customHeight="1" x14ac:dyDescent="0.25">
      <c r="A471" s="255" t="s">
        <v>715</v>
      </c>
      <c r="B471" s="17" t="s">
        <v>117</v>
      </c>
      <c r="C471" s="6" t="s">
        <v>758</v>
      </c>
      <c r="D471" s="6" t="s">
        <v>113</v>
      </c>
      <c r="E471" s="6" t="s">
        <v>465</v>
      </c>
      <c r="F471" s="6" t="s">
        <v>714</v>
      </c>
      <c r="G471" s="13">
        <f t="shared" si="97"/>
        <v>0</v>
      </c>
      <c r="H471" s="13">
        <f t="shared" si="97"/>
        <v>0</v>
      </c>
      <c r="I471" s="13">
        <f t="shared" si="97"/>
        <v>0</v>
      </c>
    </row>
    <row r="472" spans="1:16" ht="20.45" hidden="1" customHeight="1" x14ac:dyDescent="0.25">
      <c r="A472" s="255" t="s">
        <v>124</v>
      </c>
      <c r="B472" s="17" t="s">
        <v>117</v>
      </c>
      <c r="C472" s="6" t="s">
        <v>758</v>
      </c>
      <c r="D472" s="6" t="s">
        <v>113</v>
      </c>
      <c r="E472" s="6" t="s">
        <v>465</v>
      </c>
      <c r="F472" s="6" t="s">
        <v>165</v>
      </c>
      <c r="G472" s="13"/>
      <c r="H472" s="13"/>
      <c r="I472" s="13"/>
      <c r="L472" s="175"/>
      <c r="M472" s="175"/>
      <c r="N472" s="175"/>
      <c r="O472" s="175"/>
      <c r="P472" s="175"/>
    </row>
    <row r="473" spans="1:16" ht="76.150000000000006" hidden="1" customHeight="1" x14ac:dyDescent="0.25">
      <c r="A473" s="277" t="s">
        <v>464</v>
      </c>
      <c r="B473" s="17" t="s">
        <v>117</v>
      </c>
      <c r="C473" s="6" t="s">
        <v>758</v>
      </c>
      <c r="D473" s="6" t="s">
        <v>113</v>
      </c>
      <c r="E473" s="6" t="s">
        <v>466</v>
      </c>
      <c r="F473" s="6" t="s">
        <v>222</v>
      </c>
      <c r="G473" s="13">
        <f t="shared" ref="G473:I474" si="98">G474</f>
        <v>0</v>
      </c>
      <c r="H473" s="13">
        <f t="shared" si="98"/>
        <v>0</v>
      </c>
      <c r="I473" s="13">
        <f t="shared" si="98"/>
        <v>0</v>
      </c>
    </row>
    <row r="474" spans="1:16" ht="43.15" hidden="1" customHeight="1" x14ac:dyDescent="0.25">
      <c r="A474" s="255" t="s">
        <v>715</v>
      </c>
      <c r="B474" s="17" t="s">
        <v>117</v>
      </c>
      <c r="C474" s="6" t="s">
        <v>758</v>
      </c>
      <c r="D474" s="6" t="s">
        <v>113</v>
      </c>
      <c r="E474" s="6" t="s">
        <v>466</v>
      </c>
      <c r="F474" s="6" t="s">
        <v>714</v>
      </c>
      <c r="G474" s="13">
        <f t="shared" si="98"/>
        <v>0</v>
      </c>
      <c r="H474" s="13">
        <f t="shared" si="98"/>
        <v>0</v>
      </c>
      <c r="I474" s="13">
        <f t="shared" si="98"/>
        <v>0</v>
      </c>
    </row>
    <row r="475" spans="1:16" ht="21" hidden="1" customHeight="1" x14ac:dyDescent="0.25">
      <c r="A475" s="255" t="s">
        <v>124</v>
      </c>
      <c r="B475" s="17" t="s">
        <v>117</v>
      </c>
      <c r="C475" s="6" t="s">
        <v>758</v>
      </c>
      <c r="D475" s="6" t="s">
        <v>113</v>
      </c>
      <c r="E475" s="6" t="s">
        <v>466</v>
      </c>
      <c r="F475" s="6" t="s">
        <v>165</v>
      </c>
      <c r="G475" s="13"/>
      <c r="H475" s="13"/>
      <c r="I475" s="13"/>
    </row>
    <row r="476" spans="1:16" s="175" customFormat="1" ht="29.45" hidden="1" customHeight="1" x14ac:dyDescent="0.25">
      <c r="A476" s="277" t="s">
        <v>868</v>
      </c>
      <c r="B476" s="42" t="s">
        <v>117</v>
      </c>
      <c r="C476" s="18" t="s">
        <v>758</v>
      </c>
      <c r="D476" s="18" t="s">
        <v>113</v>
      </c>
      <c r="E476" s="18" t="s">
        <v>488</v>
      </c>
      <c r="F476" s="18" t="s">
        <v>222</v>
      </c>
      <c r="G476" s="15">
        <f t="shared" ref="G476:I477" si="99">G477</f>
        <v>0</v>
      </c>
      <c r="H476" s="15">
        <f t="shared" si="99"/>
        <v>0</v>
      </c>
      <c r="I476" s="15">
        <f t="shared" si="99"/>
        <v>0</v>
      </c>
      <c r="L476" s="7"/>
      <c r="M476" s="7"/>
      <c r="N476" s="7"/>
      <c r="O476" s="7"/>
      <c r="P476" s="7"/>
    </row>
    <row r="477" spans="1:16" ht="28.5" hidden="1" customHeight="1" x14ac:dyDescent="0.25">
      <c r="A477" s="255" t="s">
        <v>715</v>
      </c>
      <c r="B477" s="17" t="s">
        <v>117</v>
      </c>
      <c r="C477" s="6" t="s">
        <v>758</v>
      </c>
      <c r="D477" s="6" t="s">
        <v>113</v>
      </c>
      <c r="E477" s="18" t="s">
        <v>488</v>
      </c>
      <c r="F477" s="18" t="s">
        <v>714</v>
      </c>
      <c r="G477" s="13">
        <f t="shared" si="99"/>
        <v>0</v>
      </c>
      <c r="H477" s="13">
        <f t="shared" si="99"/>
        <v>0</v>
      </c>
      <c r="I477" s="13">
        <f t="shared" si="99"/>
        <v>0</v>
      </c>
    </row>
    <row r="478" spans="1:16" ht="19.149999999999999" hidden="1" customHeight="1" x14ac:dyDescent="0.25">
      <c r="A478" s="255" t="s">
        <v>124</v>
      </c>
      <c r="B478" s="17" t="s">
        <v>117</v>
      </c>
      <c r="C478" s="6" t="s">
        <v>758</v>
      </c>
      <c r="D478" s="6" t="s">
        <v>113</v>
      </c>
      <c r="E478" s="18" t="s">
        <v>488</v>
      </c>
      <c r="F478" s="18" t="s">
        <v>165</v>
      </c>
      <c r="G478" s="13"/>
      <c r="H478" s="13"/>
      <c r="I478" s="13"/>
    </row>
    <row r="479" spans="1:16" s="175" customFormat="1" ht="32.450000000000003" hidden="1" customHeight="1" x14ac:dyDescent="0.25">
      <c r="A479" s="277" t="s">
        <v>818</v>
      </c>
      <c r="B479" s="42" t="s">
        <v>117</v>
      </c>
      <c r="C479" s="18" t="s">
        <v>758</v>
      </c>
      <c r="D479" s="18" t="s">
        <v>113</v>
      </c>
      <c r="E479" s="18" t="s">
        <v>489</v>
      </c>
      <c r="F479" s="18" t="s">
        <v>222</v>
      </c>
      <c r="G479" s="15">
        <f t="shared" ref="G479:I480" si="100">G480</f>
        <v>0</v>
      </c>
      <c r="H479" s="15">
        <f t="shared" si="100"/>
        <v>0</v>
      </c>
      <c r="I479" s="15">
        <f t="shared" si="100"/>
        <v>0</v>
      </c>
      <c r="L479" s="7"/>
      <c r="M479" s="7"/>
      <c r="N479" s="7"/>
      <c r="O479" s="7"/>
      <c r="P479" s="7"/>
    </row>
    <row r="480" spans="1:16" ht="44.45" hidden="1" customHeight="1" x14ac:dyDescent="0.25">
      <c r="A480" s="255" t="s">
        <v>715</v>
      </c>
      <c r="B480" s="17" t="s">
        <v>117</v>
      </c>
      <c r="C480" s="6" t="s">
        <v>758</v>
      </c>
      <c r="D480" s="6" t="s">
        <v>113</v>
      </c>
      <c r="E480" s="18" t="s">
        <v>489</v>
      </c>
      <c r="F480" s="6" t="s">
        <v>714</v>
      </c>
      <c r="G480" s="13">
        <f t="shared" si="100"/>
        <v>0</v>
      </c>
      <c r="H480" s="13">
        <f t="shared" si="100"/>
        <v>0</v>
      </c>
      <c r="I480" s="13">
        <f t="shared" si="100"/>
        <v>0</v>
      </c>
    </row>
    <row r="481" spans="1:16" ht="21" hidden="1" customHeight="1" x14ac:dyDescent="0.25">
      <c r="A481" s="255" t="s">
        <v>124</v>
      </c>
      <c r="B481" s="17" t="s">
        <v>117</v>
      </c>
      <c r="C481" s="6" t="s">
        <v>758</v>
      </c>
      <c r="D481" s="6" t="s">
        <v>113</v>
      </c>
      <c r="E481" s="18" t="s">
        <v>489</v>
      </c>
      <c r="F481" s="6" t="s">
        <v>165</v>
      </c>
      <c r="G481" s="13"/>
      <c r="H481" s="13"/>
      <c r="I481" s="13"/>
    </row>
    <row r="482" spans="1:16" s="47" customFormat="1" ht="91.5" customHeight="1" x14ac:dyDescent="0.25">
      <c r="A482" s="422" t="s">
        <v>584</v>
      </c>
      <c r="B482" s="41" t="s">
        <v>117</v>
      </c>
      <c r="C482" s="23" t="s">
        <v>758</v>
      </c>
      <c r="D482" s="23" t="s">
        <v>113</v>
      </c>
      <c r="E482" s="23" t="s">
        <v>867</v>
      </c>
      <c r="F482" s="23" t="s">
        <v>222</v>
      </c>
      <c r="G482" s="22">
        <f>G483+G486</f>
        <v>722.09590000000003</v>
      </c>
      <c r="H482" s="22">
        <f>H483+H486</f>
        <v>0</v>
      </c>
      <c r="I482" s="22">
        <f>I483+I486</f>
        <v>0</v>
      </c>
      <c r="L482" s="7"/>
      <c r="M482" s="7"/>
      <c r="N482" s="7"/>
      <c r="O482" s="7"/>
      <c r="P482" s="7"/>
    </row>
    <row r="483" spans="1:16" s="175" customFormat="1" ht="111" hidden="1" customHeight="1" x14ac:dyDescent="0.25">
      <c r="A483" s="277" t="s">
        <v>508</v>
      </c>
      <c r="B483" s="42" t="s">
        <v>117</v>
      </c>
      <c r="C483" s="18" t="s">
        <v>758</v>
      </c>
      <c r="D483" s="18" t="s">
        <v>113</v>
      </c>
      <c r="E483" s="158" t="s">
        <v>552</v>
      </c>
      <c r="F483" s="18" t="s">
        <v>222</v>
      </c>
      <c r="G483" s="15">
        <f t="shared" ref="G483:I484" si="101">G484</f>
        <v>0</v>
      </c>
      <c r="H483" s="15">
        <f t="shared" si="101"/>
        <v>0</v>
      </c>
      <c r="I483" s="15">
        <f t="shared" si="101"/>
        <v>0</v>
      </c>
      <c r="L483" s="7"/>
      <c r="M483" s="7"/>
      <c r="N483" s="7"/>
      <c r="O483" s="7"/>
      <c r="P483" s="7"/>
    </row>
    <row r="484" spans="1:16" ht="46.15" hidden="1" customHeight="1" x14ac:dyDescent="0.25">
      <c r="A484" s="255" t="s">
        <v>715</v>
      </c>
      <c r="B484" s="17" t="s">
        <v>117</v>
      </c>
      <c r="C484" s="6" t="s">
        <v>758</v>
      </c>
      <c r="D484" s="6" t="s">
        <v>113</v>
      </c>
      <c r="E484" s="4" t="s">
        <v>552</v>
      </c>
      <c r="F484" s="6" t="s">
        <v>714</v>
      </c>
      <c r="G484" s="13">
        <f t="shared" si="101"/>
        <v>0</v>
      </c>
      <c r="H484" s="13">
        <f t="shared" si="101"/>
        <v>0</v>
      </c>
      <c r="I484" s="13">
        <f t="shared" si="101"/>
        <v>0</v>
      </c>
    </row>
    <row r="485" spans="1:16" ht="21" hidden="1" customHeight="1" x14ac:dyDescent="0.25">
      <c r="A485" s="255" t="s">
        <v>124</v>
      </c>
      <c r="B485" s="17" t="s">
        <v>117</v>
      </c>
      <c r="C485" s="6" t="s">
        <v>758</v>
      </c>
      <c r="D485" s="6" t="s">
        <v>113</v>
      </c>
      <c r="E485" s="4" t="s">
        <v>552</v>
      </c>
      <c r="F485" s="6" t="s">
        <v>165</v>
      </c>
      <c r="G485" s="13">
        <f>'5'!D195</f>
        <v>0</v>
      </c>
      <c r="H485" s="13">
        <f>'5'!E195</f>
        <v>0</v>
      </c>
      <c r="I485" s="13">
        <f>'5'!F195</f>
        <v>0</v>
      </c>
      <c r="J485" s="13" t="e">
        <f>'5'!#REF!</f>
        <v>#REF!</v>
      </c>
    </row>
    <row r="486" spans="1:16" s="175" customFormat="1" ht="123" customHeight="1" x14ac:dyDescent="0.25">
      <c r="A486" s="277" t="s">
        <v>959</v>
      </c>
      <c r="B486" s="42" t="s">
        <v>117</v>
      </c>
      <c r="C486" s="18" t="s">
        <v>758</v>
      </c>
      <c r="D486" s="18" t="s">
        <v>113</v>
      </c>
      <c r="E486" s="158" t="s">
        <v>555</v>
      </c>
      <c r="F486" s="18" t="s">
        <v>222</v>
      </c>
      <c r="G486" s="186">
        <f t="shared" ref="G486:I487" si="102">G487</f>
        <v>722.09590000000003</v>
      </c>
      <c r="H486" s="186">
        <f t="shared" si="102"/>
        <v>0</v>
      </c>
      <c r="I486" s="186">
        <f t="shared" si="102"/>
        <v>0</v>
      </c>
    </row>
    <row r="487" spans="1:16" ht="50.25" customHeight="1" x14ac:dyDescent="0.25">
      <c r="A487" s="255" t="s">
        <v>715</v>
      </c>
      <c r="B487" s="17" t="s">
        <v>117</v>
      </c>
      <c r="C487" s="6" t="s">
        <v>758</v>
      </c>
      <c r="D487" s="6" t="s">
        <v>113</v>
      </c>
      <c r="E487" s="4" t="s">
        <v>555</v>
      </c>
      <c r="F487" s="6" t="s">
        <v>714</v>
      </c>
      <c r="G487" s="187">
        <f t="shared" si="102"/>
        <v>722.09590000000003</v>
      </c>
      <c r="H487" s="187">
        <f t="shared" si="102"/>
        <v>0</v>
      </c>
      <c r="I487" s="187">
        <f t="shared" si="102"/>
        <v>0</v>
      </c>
      <c r="L487" s="48"/>
      <c r="M487" s="48"/>
      <c r="N487" s="48"/>
      <c r="O487" s="48"/>
      <c r="P487" s="48"/>
    </row>
    <row r="488" spans="1:16" ht="20.25" customHeight="1" x14ac:dyDescent="0.25">
      <c r="A488" s="255" t="s">
        <v>124</v>
      </c>
      <c r="B488" s="17" t="s">
        <v>117</v>
      </c>
      <c r="C488" s="6" t="s">
        <v>758</v>
      </c>
      <c r="D488" s="6" t="s">
        <v>113</v>
      </c>
      <c r="E488" s="4" t="s">
        <v>555</v>
      </c>
      <c r="F488" s="6" t="s">
        <v>165</v>
      </c>
      <c r="G488" s="187">
        <f>'5'!D196</f>
        <v>722.09590000000003</v>
      </c>
      <c r="H488" s="187">
        <f>'5'!E196</f>
        <v>0</v>
      </c>
      <c r="I488" s="187">
        <f>'5'!F196</f>
        <v>0</v>
      </c>
    </row>
    <row r="489" spans="1:16" ht="51" customHeight="1" x14ac:dyDescent="0.25">
      <c r="A489" s="277" t="s">
        <v>724</v>
      </c>
      <c r="B489" s="42">
        <v>951</v>
      </c>
      <c r="C489" s="18" t="s">
        <v>758</v>
      </c>
      <c r="D489" s="18" t="s">
        <v>113</v>
      </c>
      <c r="E489" s="18" t="s">
        <v>22</v>
      </c>
      <c r="F489" s="18" t="s">
        <v>222</v>
      </c>
      <c r="G489" s="15">
        <f t="shared" ref="G489:I490" si="103">G490</f>
        <v>39</v>
      </c>
      <c r="H489" s="15">
        <f t="shared" si="103"/>
        <v>39</v>
      </c>
      <c r="I489" s="15">
        <f t="shared" si="103"/>
        <v>39</v>
      </c>
      <c r="J489" s="188"/>
    </row>
    <row r="490" spans="1:16" ht="36" customHeight="1" x14ac:dyDescent="0.25">
      <c r="A490" s="255" t="s">
        <v>869</v>
      </c>
      <c r="B490" s="17">
        <v>951</v>
      </c>
      <c r="C490" s="6" t="s">
        <v>758</v>
      </c>
      <c r="D490" s="6" t="s">
        <v>113</v>
      </c>
      <c r="E490" s="6" t="s">
        <v>960</v>
      </c>
      <c r="F490" s="6" t="s">
        <v>222</v>
      </c>
      <c r="G490" s="13">
        <f t="shared" si="103"/>
        <v>39</v>
      </c>
      <c r="H490" s="13">
        <f t="shared" si="103"/>
        <v>39</v>
      </c>
      <c r="I490" s="13">
        <f t="shared" si="103"/>
        <v>39</v>
      </c>
    </row>
    <row r="491" spans="1:16" x14ac:dyDescent="0.25">
      <c r="A491" s="255" t="s">
        <v>124</v>
      </c>
      <c r="B491" s="17">
        <v>951</v>
      </c>
      <c r="C491" s="6" t="s">
        <v>758</v>
      </c>
      <c r="D491" s="6" t="s">
        <v>113</v>
      </c>
      <c r="E491" s="6" t="s">
        <v>65</v>
      </c>
      <c r="F491" s="6" t="s">
        <v>165</v>
      </c>
      <c r="G491" s="13">
        <f>'5'!D98</f>
        <v>39</v>
      </c>
      <c r="H491" s="13">
        <f>'5'!E98</f>
        <v>39</v>
      </c>
      <c r="I491" s="13">
        <f>'5'!F98</f>
        <v>39</v>
      </c>
    </row>
    <row r="492" spans="1:16" ht="66.75" customHeight="1" x14ac:dyDescent="0.25">
      <c r="A492" s="277" t="s">
        <v>558</v>
      </c>
      <c r="B492" s="42">
        <v>951</v>
      </c>
      <c r="C492" s="18" t="s">
        <v>758</v>
      </c>
      <c r="D492" s="18" t="s">
        <v>113</v>
      </c>
      <c r="E492" s="18" t="s">
        <v>843</v>
      </c>
      <c r="F492" s="18" t="s">
        <v>222</v>
      </c>
      <c r="G492" s="15">
        <f>G493</f>
        <v>5</v>
      </c>
      <c r="H492" s="15">
        <f>H493</f>
        <v>5</v>
      </c>
      <c r="I492" s="15">
        <f>I493</f>
        <v>5</v>
      </c>
    </row>
    <row r="493" spans="1:16" ht="36" customHeight="1" x14ac:dyDescent="0.25">
      <c r="A493" s="255" t="s">
        <v>201</v>
      </c>
      <c r="B493" s="17">
        <v>951</v>
      </c>
      <c r="C493" s="6" t="s">
        <v>758</v>
      </c>
      <c r="D493" s="6" t="s">
        <v>113</v>
      </c>
      <c r="E493" s="6" t="s">
        <v>66</v>
      </c>
      <c r="F493" s="6" t="s">
        <v>165</v>
      </c>
      <c r="G493" s="13">
        <f>'5'!D111</f>
        <v>5</v>
      </c>
      <c r="H493" s="13">
        <f>'5'!E111</f>
        <v>5</v>
      </c>
      <c r="I493" s="13">
        <f>'5'!F111</f>
        <v>5</v>
      </c>
    </row>
    <row r="494" spans="1:16" ht="66.75" customHeight="1" x14ac:dyDescent="0.25">
      <c r="A494" s="277" t="s">
        <v>596</v>
      </c>
      <c r="B494" s="42">
        <v>951</v>
      </c>
      <c r="C494" s="18" t="s">
        <v>758</v>
      </c>
      <c r="D494" s="18" t="s">
        <v>113</v>
      </c>
      <c r="E494" s="42" t="s">
        <v>26</v>
      </c>
      <c r="F494" s="18" t="s">
        <v>222</v>
      </c>
      <c r="G494" s="15">
        <f t="shared" ref="G494:I495" si="104">G495</f>
        <v>198</v>
      </c>
      <c r="H494" s="15">
        <f t="shared" si="104"/>
        <v>60</v>
      </c>
      <c r="I494" s="15">
        <f t="shared" si="104"/>
        <v>60</v>
      </c>
    </row>
    <row r="495" spans="1:16" ht="51.75" customHeight="1" x14ac:dyDescent="0.25">
      <c r="A495" s="255" t="s">
        <v>715</v>
      </c>
      <c r="B495" s="17">
        <v>951</v>
      </c>
      <c r="C495" s="6" t="s">
        <v>758</v>
      </c>
      <c r="D495" s="6" t="s">
        <v>113</v>
      </c>
      <c r="E495" s="17" t="s">
        <v>380</v>
      </c>
      <c r="F495" s="6" t="s">
        <v>714</v>
      </c>
      <c r="G495" s="13">
        <f t="shared" si="104"/>
        <v>198</v>
      </c>
      <c r="H495" s="13">
        <f t="shared" si="104"/>
        <v>60</v>
      </c>
      <c r="I495" s="13">
        <f t="shared" si="104"/>
        <v>60</v>
      </c>
    </row>
    <row r="496" spans="1:16" ht="33" customHeight="1" x14ac:dyDescent="0.25">
      <c r="A496" s="255" t="s">
        <v>201</v>
      </c>
      <c r="B496" s="17">
        <v>951</v>
      </c>
      <c r="C496" s="6" t="s">
        <v>758</v>
      </c>
      <c r="D496" s="6" t="s">
        <v>113</v>
      </c>
      <c r="E496" s="17" t="s">
        <v>380</v>
      </c>
      <c r="F496" s="6" t="s">
        <v>165</v>
      </c>
      <c r="G496" s="11">
        <f>'5'!D119</f>
        <v>198</v>
      </c>
      <c r="H496" s="11">
        <f>'5'!E119</f>
        <v>60</v>
      </c>
      <c r="I496" s="11">
        <f>'5'!F119</f>
        <v>60</v>
      </c>
    </row>
    <row r="497" spans="1:16" ht="90.75" customHeight="1" x14ac:dyDescent="0.25">
      <c r="A497" s="277" t="s">
        <v>779</v>
      </c>
      <c r="B497" s="42">
        <v>951</v>
      </c>
      <c r="C497" s="18" t="s">
        <v>758</v>
      </c>
      <c r="D497" s="18" t="s">
        <v>113</v>
      </c>
      <c r="E497" s="18" t="s">
        <v>284</v>
      </c>
      <c r="F497" s="18" t="s">
        <v>222</v>
      </c>
      <c r="G497" s="15">
        <f t="shared" ref="G497:I498" si="105">G498</f>
        <v>295.71499999999997</v>
      </c>
      <c r="H497" s="15">
        <f t="shared" si="105"/>
        <v>20</v>
      </c>
      <c r="I497" s="15">
        <f t="shared" si="105"/>
        <v>20</v>
      </c>
    </row>
    <row r="498" spans="1:16" ht="47.25" customHeight="1" x14ac:dyDescent="0.25">
      <c r="A498" s="255" t="s">
        <v>715</v>
      </c>
      <c r="B498" s="17">
        <v>951</v>
      </c>
      <c r="C498" s="6" t="s">
        <v>758</v>
      </c>
      <c r="D498" s="6" t="s">
        <v>113</v>
      </c>
      <c r="E498" s="6" t="s">
        <v>443</v>
      </c>
      <c r="F498" s="6" t="s">
        <v>714</v>
      </c>
      <c r="G498" s="13">
        <f t="shared" si="105"/>
        <v>295.71499999999997</v>
      </c>
      <c r="H498" s="13">
        <f t="shared" si="105"/>
        <v>20</v>
      </c>
      <c r="I498" s="13">
        <f t="shared" si="105"/>
        <v>20</v>
      </c>
    </row>
    <row r="499" spans="1:16" ht="23.25" customHeight="1" x14ac:dyDescent="0.25">
      <c r="A499" s="255" t="s">
        <v>124</v>
      </c>
      <c r="B499" s="17">
        <v>951</v>
      </c>
      <c r="C499" s="6" t="s">
        <v>758</v>
      </c>
      <c r="D499" s="6" t="s">
        <v>113</v>
      </c>
      <c r="E499" s="6" t="s">
        <v>443</v>
      </c>
      <c r="F499" s="6" t="s">
        <v>165</v>
      </c>
      <c r="G499" s="13">
        <f>'5'!D213</f>
        <v>295.71499999999997</v>
      </c>
      <c r="H499" s="13">
        <f>'5'!E213</f>
        <v>20</v>
      </c>
      <c r="I499" s="13">
        <f>'5'!F213</f>
        <v>20</v>
      </c>
    </row>
    <row r="500" spans="1:16" s="175" customFormat="1" ht="19.899999999999999" hidden="1" customHeight="1" x14ac:dyDescent="0.25">
      <c r="A500" s="422" t="s">
        <v>871</v>
      </c>
      <c r="B500" s="41">
        <v>951</v>
      </c>
      <c r="C500" s="23" t="s">
        <v>747</v>
      </c>
      <c r="D500" s="23" t="s">
        <v>109</v>
      </c>
      <c r="E500" s="23" t="s">
        <v>666</v>
      </c>
      <c r="F500" s="23" t="s">
        <v>222</v>
      </c>
      <c r="G500" s="22">
        <f>G502</f>
        <v>0</v>
      </c>
      <c r="H500" s="22">
        <f>H502</f>
        <v>0</v>
      </c>
      <c r="I500" s="22">
        <f>I502</f>
        <v>0</v>
      </c>
      <c r="L500" s="7"/>
      <c r="M500" s="7"/>
      <c r="N500" s="7"/>
      <c r="O500" s="7"/>
      <c r="P500" s="7"/>
    </row>
    <row r="501" spans="1:16" s="48" customFormat="1" ht="23.25" hidden="1" customHeight="1" x14ac:dyDescent="0.25">
      <c r="A501" s="266" t="s">
        <v>872</v>
      </c>
      <c r="B501" s="20" t="s">
        <v>117</v>
      </c>
      <c r="C501" s="20" t="s">
        <v>747</v>
      </c>
      <c r="D501" s="20" t="s">
        <v>747</v>
      </c>
      <c r="E501" s="20" t="s">
        <v>666</v>
      </c>
      <c r="F501" s="20" t="s">
        <v>222</v>
      </c>
      <c r="G501" s="21">
        <f t="shared" ref="G501:I503" si="106">G502</f>
        <v>0</v>
      </c>
      <c r="H501" s="21">
        <f t="shared" si="106"/>
        <v>0</v>
      </c>
      <c r="I501" s="21">
        <f t="shared" si="106"/>
        <v>0</v>
      </c>
      <c r="L501" s="7"/>
      <c r="M501" s="7"/>
      <c r="N501" s="7"/>
      <c r="O501" s="7"/>
      <c r="P501" s="7"/>
    </row>
    <row r="502" spans="1:16" ht="36" hidden="1" customHeight="1" x14ac:dyDescent="0.25">
      <c r="A502" s="255" t="s">
        <v>873</v>
      </c>
      <c r="B502" s="42">
        <v>951</v>
      </c>
      <c r="C502" s="18" t="s">
        <v>747</v>
      </c>
      <c r="D502" s="18" t="s">
        <v>747</v>
      </c>
      <c r="E502" s="18" t="s">
        <v>846</v>
      </c>
      <c r="F502" s="6" t="s">
        <v>222</v>
      </c>
      <c r="G502" s="13">
        <f>G503</f>
        <v>0</v>
      </c>
      <c r="H502" s="13">
        <f t="shared" si="106"/>
        <v>0</v>
      </c>
      <c r="I502" s="13">
        <f t="shared" si="106"/>
        <v>0</v>
      </c>
    </row>
    <row r="503" spans="1:16" ht="36" hidden="1" customHeight="1" x14ac:dyDescent="0.25">
      <c r="A503" s="255" t="s">
        <v>676</v>
      </c>
      <c r="B503" s="42">
        <v>951</v>
      </c>
      <c r="C503" s="18" t="s">
        <v>747</v>
      </c>
      <c r="D503" s="18" t="s">
        <v>747</v>
      </c>
      <c r="E503" s="6" t="s">
        <v>874</v>
      </c>
      <c r="F503" s="6" t="s">
        <v>677</v>
      </c>
      <c r="G503" s="13">
        <f>G504</f>
        <v>0</v>
      </c>
      <c r="H503" s="13">
        <f t="shared" si="106"/>
        <v>0</v>
      </c>
      <c r="I503" s="13">
        <f t="shared" si="106"/>
        <v>0</v>
      </c>
    </row>
    <row r="504" spans="1:16" ht="47.25" hidden="1" customHeight="1" x14ac:dyDescent="0.25">
      <c r="A504" s="255" t="s">
        <v>678</v>
      </c>
      <c r="B504" s="42">
        <v>951</v>
      </c>
      <c r="C504" s="18" t="s">
        <v>747</v>
      </c>
      <c r="D504" s="18" t="s">
        <v>747</v>
      </c>
      <c r="E504" s="6" t="s">
        <v>491</v>
      </c>
      <c r="F504" s="6" t="s">
        <v>679</v>
      </c>
      <c r="G504" s="13"/>
      <c r="H504" s="13"/>
      <c r="I504" s="13"/>
    </row>
    <row r="505" spans="1:16" ht="23.25" hidden="1" customHeight="1" x14ac:dyDescent="0.25">
      <c r="A505" s="255"/>
      <c r="B505" s="17"/>
      <c r="C505" s="6"/>
      <c r="D505" s="6"/>
      <c r="E505" s="6"/>
      <c r="F505" s="6"/>
      <c r="G505" s="13"/>
      <c r="H505" s="13"/>
      <c r="I505" s="13"/>
    </row>
    <row r="506" spans="1:16" ht="19.899999999999999" customHeight="1" x14ac:dyDescent="0.25">
      <c r="A506" s="303" t="s">
        <v>875</v>
      </c>
      <c r="B506" s="185">
        <v>951</v>
      </c>
      <c r="C506" s="184" t="s">
        <v>127</v>
      </c>
      <c r="D506" s="184" t="s">
        <v>109</v>
      </c>
      <c r="E506" s="184" t="s">
        <v>666</v>
      </c>
      <c r="F506" s="184" t="s">
        <v>222</v>
      </c>
      <c r="G506" s="178">
        <f>G507+G512+G527+G574</f>
        <v>33297.506029999997</v>
      </c>
      <c r="H506" s="178">
        <f t="shared" ref="H506:I506" si="107">H507+H512+H527+H574</f>
        <v>45969.675879999995</v>
      </c>
      <c r="I506" s="178">
        <f t="shared" si="107"/>
        <v>46750.245409999996</v>
      </c>
      <c r="J506" s="7">
        <v>36702.901169999997</v>
      </c>
    </row>
    <row r="507" spans="1:16" ht="17.100000000000001" customHeight="1" x14ac:dyDescent="0.25">
      <c r="A507" s="301" t="s">
        <v>104</v>
      </c>
      <c r="B507" s="179">
        <v>951</v>
      </c>
      <c r="C507" s="180" t="s">
        <v>127</v>
      </c>
      <c r="D507" s="180" t="s">
        <v>108</v>
      </c>
      <c r="E507" s="180" t="s">
        <v>666</v>
      </c>
      <c r="F507" s="180" t="s">
        <v>222</v>
      </c>
      <c r="G507" s="181">
        <f>G508</f>
        <v>2332</v>
      </c>
      <c r="H507" s="181">
        <f t="shared" ref="G507:I510" si="108">H508</f>
        <v>1200</v>
      </c>
      <c r="I507" s="181">
        <f t="shared" si="108"/>
        <v>1200</v>
      </c>
    </row>
    <row r="508" spans="1:16" ht="31.5" customHeight="1" x14ac:dyDescent="0.25">
      <c r="A508" s="255" t="s">
        <v>876</v>
      </c>
      <c r="B508" s="17">
        <v>951</v>
      </c>
      <c r="C508" s="6" t="s">
        <v>127</v>
      </c>
      <c r="D508" s="6" t="s">
        <v>108</v>
      </c>
      <c r="E508" s="6" t="s">
        <v>67</v>
      </c>
      <c r="F508" s="6" t="s">
        <v>222</v>
      </c>
      <c r="G508" s="13">
        <f t="shared" si="108"/>
        <v>2332</v>
      </c>
      <c r="H508" s="13">
        <f t="shared" si="108"/>
        <v>1200</v>
      </c>
      <c r="I508" s="13">
        <f t="shared" si="108"/>
        <v>1200</v>
      </c>
    </row>
    <row r="509" spans="1:16" ht="43.5" customHeight="1" x14ac:dyDescent="0.25">
      <c r="A509" s="255" t="s">
        <v>877</v>
      </c>
      <c r="B509" s="17">
        <v>951</v>
      </c>
      <c r="C509" s="6" t="s">
        <v>127</v>
      </c>
      <c r="D509" s="6" t="s">
        <v>108</v>
      </c>
      <c r="E509" s="6" t="s">
        <v>67</v>
      </c>
      <c r="F509" s="6" t="s">
        <v>222</v>
      </c>
      <c r="G509" s="13">
        <f t="shared" si="108"/>
        <v>2332</v>
      </c>
      <c r="H509" s="13">
        <f t="shared" si="108"/>
        <v>1200</v>
      </c>
      <c r="I509" s="13">
        <f t="shared" si="108"/>
        <v>1200</v>
      </c>
    </row>
    <row r="510" spans="1:16" ht="30" x14ac:dyDescent="0.25">
      <c r="A510" s="255" t="s">
        <v>832</v>
      </c>
      <c r="B510" s="17">
        <v>951</v>
      </c>
      <c r="C510" s="6" t="s">
        <v>127</v>
      </c>
      <c r="D510" s="6" t="s">
        <v>108</v>
      </c>
      <c r="E510" s="6" t="s">
        <v>67</v>
      </c>
      <c r="F510" s="6" t="s">
        <v>833</v>
      </c>
      <c r="G510" s="13">
        <f t="shared" si="108"/>
        <v>2332</v>
      </c>
      <c r="H510" s="13">
        <f t="shared" si="108"/>
        <v>1200</v>
      </c>
      <c r="I510" s="13">
        <f t="shared" si="108"/>
        <v>1200</v>
      </c>
    </row>
    <row r="511" spans="1:16" ht="30" customHeight="1" x14ac:dyDescent="0.25">
      <c r="A511" s="255" t="s">
        <v>120</v>
      </c>
      <c r="B511" s="17">
        <v>951</v>
      </c>
      <c r="C511" s="6" t="s">
        <v>127</v>
      </c>
      <c r="D511" s="6" t="s">
        <v>108</v>
      </c>
      <c r="E511" s="6" t="s">
        <v>67</v>
      </c>
      <c r="F511" s="6" t="s">
        <v>121</v>
      </c>
      <c r="G511" s="11">
        <f>'5'!D281</f>
        <v>2332</v>
      </c>
      <c r="H511" s="13">
        <v>1200</v>
      </c>
      <c r="I511" s="13">
        <v>1200</v>
      </c>
    </row>
    <row r="512" spans="1:16" ht="21" customHeight="1" x14ac:dyDescent="0.25">
      <c r="A512" s="301" t="s">
        <v>332</v>
      </c>
      <c r="B512" s="179">
        <v>951</v>
      </c>
      <c r="C512" s="180" t="s">
        <v>127</v>
      </c>
      <c r="D512" s="180" t="s">
        <v>111</v>
      </c>
      <c r="E512" s="180" t="s">
        <v>666</v>
      </c>
      <c r="F512" s="180" t="s">
        <v>222</v>
      </c>
      <c r="G512" s="181">
        <f>G513+G519</f>
        <v>1540</v>
      </c>
      <c r="H512" s="181">
        <f>H513+H519</f>
        <v>200</v>
      </c>
      <c r="I512" s="181">
        <f>I513+I519</f>
        <v>200</v>
      </c>
    </row>
    <row r="513" spans="1:9" ht="64.5" customHeight="1" x14ac:dyDescent="0.25">
      <c r="A513" s="277" t="s">
        <v>961</v>
      </c>
      <c r="B513" s="17">
        <v>951</v>
      </c>
      <c r="C513" s="18" t="s">
        <v>127</v>
      </c>
      <c r="D513" s="18" t="s">
        <v>111</v>
      </c>
      <c r="E513" s="18" t="s">
        <v>68</v>
      </c>
      <c r="F513" s="18" t="s">
        <v>222</v>
      </c>
      <c r="G513" s="15">
        <f t="shared" ref="G513:I514" si="109">G514</f>
        <v>200</v>
      </c>
      <c r="H513" s="15">
        <f t="shared" si="109"/>
        <v>200</v>
      </c>
      <c r="I513" s="15">
        <f t="shared" si="109"/>
        <v>200</v>
      </c>
    </row>
    <row r="514" spans="1:9" ht="30.75" customHeight="1" x14ac:dyDescent="0.25">
      <c r="A514" s="255" t="s">
        <v>832</v>
      </c>
      <c r="B514" s="17" t="s">
        <v>117</v>
      </c>
      <c r="C514" s="6" t="s">
        <v>127</v>
      </c>
      <c r="D514" s="6" t="s">
        <v>111</v>
      </c>
      <c r="E514" s="6" t="s">
        <v>69</v>
      </c>
      <c r="F514" s="6" t="s">
        <v>833</v>
      </c>
      <c r="G514" s="13">
        <f t="shared" si="109"/>
        <v>200</v>
      </c>
      <c r="H514" s="13">
        <f t="shared" si="109"/>
        <v>200</v>
      </c>
      <c r="I514" s="13">
        <f t="shared" si="109"/>
        <v>200</v>
      </c>
    </row>
    <row r="515" spans="1:9" ht="36" customHeight="1" x14ac:dyDescent="0.25">
      <c r="A515" s="255" t="s">
        <v>122</v>
      </c>
      <c r="B515" s="17">
        <v>951</v>
      </c>
      <c r="C515" s="6" t="s">
        <v>127</v>
      </c>
      <c r="D515" s="6" t="s">
        <v>111</v>
      </c>
      <c r="E515" s="6" t="s">
        <v>69</v>
      </c>
      <c r="F515" s="6" t="s">
        <v>878</v>
      </c>
      <c r="G515" s="13">
        <f>'5'!D145</f>
        <v>200</v>
      </c>
      <c r="H515" s="13">
        <f>'5'!E145</f>
        <v>200</v>
      </c>
      <c r="I515" s="13">
        <f>'5'!F145</f>
        <v>200</v>
      </c>
    </row>
    <row r="516" spans="1:9" ht="17.25" hidden="1" customHeight="1" x14ac:dyDescent="0.25">
      <c r="A516" s="266" t="s">
        <v>299</v>
      </c>
      <c r="B516" s="19">
        <v>952</v>
      </c>
      <c r="C516" s="6" t="s">
        <v>127</v>
      </c>
      <c r="D516" s="6" t="s">
        <v>111</v>
      </c>
      <c r="E516" s="20" t="s">
        <v>666</v>
      </c>
      <c r="F516" s="20" t="s">
        <v>222</v>
      </c>
      <c r="G516" s="21">
        <f t="shared" ref="G516:I517" si="110">G517</f>
        <v>0</v>
      </c>
      <c r="H516" s="21">
        <f t="shared" si="110"/>
        <v>0</v>
      </c>
      <c r="I516" s="21">
        <f t="shared" si="110"/>
        <v>0</v>
      </c>
    </row>
    <row r="517" spans="1:9" ht="29.25" hidden="1" customHeight="1" x14ac:dyDescent="0.25">
      <c r="A517" s="255" t="s">
        <v>832</v>
      </c>
      <c r="B517" s="17">
        <v>953</v>
      </c>
      <c r="C517" s="6" t="s">
        <v>127</v>
      </c>
      <c r="D517" s="6" t="s">
        <v>111</v>
      </c>
      <c r="E517" s="6" t="s">
        <v>300</v>
      </c>
      <c r="F517" s="6" t="s">
        <v>833</v>
      </c>
      <c r="G517" s="13">
        <f t="shared" si="110"/>
        <v>0</v>
      </c>
      <c r="H517" s="13">
        <f t="shared" si="110"/>
        <v>0</v>
      </c>
      <c r="I517" s="13">
        <f t="shared" si="110"/>
        <v>0</v>
      </c>
    </row>
    <row r="518" spans="1:9" ht="29.25" hidden="1" customHeight="1" x14ac:dyDescent="0.25">
      <c r="A518" s="255" t="s">
        <v>122</v>
      </c>
      <c r="B518" s="17">
        <v>954</v>
      </c>
      <c r="C518" s="6" t="s">
        <v>127</v>
      </c>
      <c r="D518" s="6" t="s">
        <v>111</v>
      </c>
      <c r="E518" s="6" t="s">
        <v>300</v>
      </c>
      <c r="F518" s="6" t="s">
        <v>878</v>
      </c>
      <c r="G518" s="13"/>
      <c r="H518" s="13"/>
      <c r="I518" s="13"/>
    </row>
    <row r="519" spans="1:9" ht="34.15" customHeight="1" x14ac:dyDescent="0.25">
      <c r="A519" s="255" t="s">
        <v>669</v>
      </c>
      <c r="B519" s="17" t="s">
        <v>117</v>
      </c>
      <c r="C519" s="6" t="s">
        <v>127</v>
      </c>
      <c r="D519" s="6" t="s">
        <v>111</v>
      </c>
      <c r="E519" s="6" t="s">
        <v>666</v>
      </c>
      <c r="F519" s="6" t="s">
        <v>222</v>
      </c>
      <c r="G519" s="13">
        <f>G520</f>
        <v>1340</v>
      </c>
      <c r="H519" s="13">
        <f t="shared" ref="H519:I522" si="111">H520</f>
        <v>0</v>
      </c>
      <c r="I519" s="13">
        <f t="shared" si="111"/>
        <v>0</v>
      </c>
    </row>
    <row r="520" spans="1:9" ht="49.5" customHeight="1" x14ac:dyDescent="0.25">
      <c r="A520" s="255" t="s">
        <v>110</v>
      </c>
      <c r="B520" s="17" t="s">
        <v>117</v>
      </c>
      <c r="C520" s="6" t="s">
        <v>127</v>
      </c>
      <c r="D520" s="6" t="s">
        <v>111</v>
      </c>
      <c r="E520" s="6" t="s">
        <v>666</v>
      </c>
      <c r="F520" s="6" t="s">
        <v>222</v>
      </c>
      <c r="G520" s="13">
        <f>G521+G524</f>
        <v>1340</v>
      </c>
      <c r="H520" s="13">
        <f>H521+H524</f>
        <v>0</v>
      </c>
      <c r="I520" s="13">
        <f>I521+I524</f>
        <v>0</v>
      </c>
    </row>
    <row r="521" spans="1:9" ht="210" hidden="1" customHeight="1" x14ac:dyDescent="0.25">
      <c r="A521" s="277" t="s">
        <v>962</v>
      </c>
      <c r="B521" s="42" t="s">
        <v>117</v>
      </c>
      <c r="C521" s="18" t="s">
        <v>127</v>
      </c>
      <c r="D521" s="18" t="s">
        <v>111</v>
      </c>
      <c r="E521" s="18" t="s">
        <v>469</v>
      </c>
      <c r="F521" s="18" t="s">
        <v>222</v>
      </c>
      <c r="G521" s="15">
        <f>G522</f>
        <v>0</v>
      </c>
      <c r="H521" s="15">
        <f t="shared" si="111"/>
        <v>0</v>
      </c>
      <c r="I521" s="15">
        <f t="shared" si="111"/>
        <v>0</v>
      </c>
    </row>
    <row r="522" spans="1:9" ht="19.149999999999999" hidden="1" customHeight="1" x14ac:dyDescent="0.25">
      <c r="A522" s="255" t="s">
        <v>680</v>
      </c>
      <c r="B522" s="17" t="s">
        <v>117</v>
      </c>
      <c r="C522" s="6" t="s">
        <v>127</v>
      </c>
      <c r="D522" s="6" t="s">
        <v>111</v>
      </c>
      <c r="E522" s="6" t="s">
        <v>469</v>
      </c>
      <c r="F522" s="6" t="s">
        <v>681</v>
      </c>
      <c r="G522" s="13">
        <f>G523</f>
        <v>0</v>
      </c>
      <c r="H522" s="13">
        <f t="shared" si="111"/>
        <v>0</v>
      </c>
      <c r="I522" s="13">
        <f t="shared" si="111"/>
        <v>0</v>
      </c>
    </row>
    <row r="523" spans="1:9" ht="29.25" hidden="1" customHeight="1" x14ac:dyDescent="0.25">
      <c r="A523" s="255" t="s">
        <v>881</v>
      </c>
      <c r="B523" s="17" t="s">
        <v>117</v>
      </c>
      <c r="C523" s="6" t="s">
        <v>127</v>
      </c>
      <c r="D523" s="6" t="s">
        <v>111</v>
      </c>
      <c r="E523" s="6" t="s">
        <v>469</v>
      </c>
      <c r="F523" s="6" t="s">
        <v>760</v>
      </c>
      <c r="G523" s="13"/>
      <c r="H523" s="13"/>
      <c r="I523" s="13"/>
    </row>
    <row r="524" spans="1:9" ht="67.5" customHeight="1" x14ac:dyDescent="0.25">
      <c r="A524" s="263" t="s">
        <v>601</v>
      </c>
      <c r="B524" s="96" t="s">
        <v>117</v>
      </c>
      <c r="C524" s="158" t="s">
        <v>127</v>
      </c>
      <c r="D524" s="158" t="s">
        <v>111</v>
      </c>
      <c r="E524" s="158" t="s">
        <v>600</v>
      </c>
      <c r="F524" s="158" t="s">
        <v>222</v>
      </c>
      <c r="G524" s="189">
        <f t="shared" ref="G524:I525" si="112">G525</f>
        <v>1340</v>
      </c>
      <c r="H524" s="189">
        <f t="shared" si="112"/>
        <v>0</v>
      </c>
      <c r="I524" s="189">
        <f t="shared" si="112"/>
        <v>0</v>
      </c>
    </row>
    <row r="525" spans="1:9" ht="34.5" customHeight="1" x14ac:dyDescent="0.25">
      <c r="A525" s="254" t="s">
        <v>832</v>
      </c>
      <c r="B525" s="3" t="s">
        <v>117</v>
      </c>
      <c r="C525" s="4" t="s">
        <v>127</v>
      </c>
      <c r="D525" s="4" t="s">
        <v>111</v>
      </c>
      <c r="E525" s="4" t="s">
        <v>600</v>
      </c>
      <c r="F525" s="4" t="s">
        <v>833</v>
      </c>
      <c r="G525" s="57">
        <f t="shared" si="112"/>
        <v>1340</v>
      </c>
      <c r="H525" s="57">
        <f t="shared" si="112"/>
        <v>0</v>
      </c>
      <c r="I525" s="57">
        <f t="shared" si="112"/>
        <v>0</v>
      </c>
    </row>
    <row r="526" spans="1:9" ht="34.5" customHeight="1" x14ac:dyDescent="0.25">
      <c r="A526" s="254" t="s">
        <v>122</v>
      </c>
      <c r="B526" s="3" t="s">
        <v>117</v>
      </c>
      <c r="C526" s="4" t="s">
        <v>127</v>
      </c>
      <c r="D526" s="4" t="s">
        <v>111</v>
      </c>
      <c r="E526" s="4" t="s">
        <v>600</v>
      </c>
      <c r="F526" s="4" t="s">
        <v>878</v>
      </c>
      <c r="G526" s="57">
        <f>'5'!D295</f>
        <v>1340</v>
      </c>
      <c r="H526" s="57">
        <f>'5'!E295</f>
        <v>0</v>
      </c>
      <c r="I526" s="57">
        <f>'5'!F295</f>
        <v>0</v>
      </c>
    </row>
    <row r="527" spans="1:9" ht="19.5" customHeight="1" x14ac:dyDescent="0.25">
      <c r="A527" s="301" t="s">
        <v>216</v>
      </c>
      <c r="B527" s="179">
        <v>951</v>
      </c>
      <c r="C527" s="180" t="s">
        <v>127</v>
      </c>
      <c r="D527" s="180" t="s">
        <v>113</v>
      </c>
      <c r="E527" s="180" t="s">
        <v>666</v>
      </c>
      <c r="F527" s="180" t="s">
        <v>222</v>
      </c>
      <c r="G527" s="181">
        <f>G528+G553</f>
        <v>26842.623029999999</v>
      </c>
      <c r="H527" s="181">
        <f>H528+H553</f>
        <v>41962.539879999997</v>
      </c>
      <c r="I527" s="181">
        <f>I528+I553+I559</f>
        <v>42645.128409999998</v>
      </c>
    </row>
    <row r="528" spans="1:9" ht="143.25" customHeight="1" x14ac:dyDescent="0.25">
      <c r="A528" s="266" t="s">
        <v>440</v>
      </c>
      <c r="B528" s="19">
        <v>951</v>
      </c>
      <c r="C528" s="20" t="s">
        <v>127</v>
      </c>
      <c r="D528" s="20" t="s">
        <v>113</v>
      </c>
      <c r="E528" s="20" t="s">
        <v>416</v>
      </c>
      <c r="F528" s="20" t="s">
        <v>222</v>
      </c>
      <c r="G528" s="99">
        <f>G529+G542+G548+G534</f>
        <v>24931.352129999999</v>
      </c>
      <c r="H528" s="21">
        <f>H529+H542+H548+H534</f>
        <v>38371.855009999999</v>
      </c>
      <c r="I528" s="21">
        <f>I529+I542+I548+I534</f>
        <v>0</v>
      </c>
    </row>
    <row r="529" spans="1:16" ht="96" customHeight="1" x14ac:dyDescent="0.25">
      <c r="A529" s="277" t="s">
        <v>963</v>
      </c>
      <c r="B529" s="42">
        <v>951</v>
      </c>
      <c r="C529" s="18" t="s">
        <v>127</v>
      </c>
      <c r="D529" s="18" t="s">
        <v>113</v>
      </c>
      <c r="E529" s="4" t="s">
        <v>1046</v>
      </c>
      <c r="F529" s="158" t="s">
        <v>222</v>
      </c>
      <c r="G529" s="95">
        <f>G530+G532</f>
        <v>13428.384</v>
      </c>
      <c r="H529" s="95">
        <f>H530+H532</f>
        <v>9033.5999999999985</v>
      </c>
      <c r="I529" s="95">
        <f>I530+I532</f>
        <v>0</v>
      </c>
    </row>
    <row r="530" spans="1:16" ht="30.75" hidden="1" customHeight="1" x14ac:dyDescent="0.25">
      <c r="A530" s="255" t="s">
        <v>832</v>
      </c>
      <c r="B530" s="17" t="s">
        <v>117</v>
      </c>
      <c r="C530" s="6" t="s">
        <v>127</v>
      </c>
      <c r="D530" s="6" t="s">
        <v>113</v>
      </c>
      <c r="E530" s="4" t="s">
        <v>1046</v>
      </c>
      <c r="F530" s="4" t="s">
        <v>833</v>
      </c>
      <c r="G530" s="11">
        <f>G531</f>
        <v>0</v>
      </c>
      <c r="H530" s="11">
        <f>H531</f>
        <v>0</v>
      </c>
      <c r="I530" s="11">
        <f>I531</f>
        <v>0</v>
      </c>
    </row>
    <row r="531" spans="1:16" ht="37.5" hidden="1" customHeight="1" x14ac:dyDescent="0.25">
      <c r="A531" s="255" t="s">
        <v>122</v>
      </c>
      <c r="B531" s="17" t="s">
        <v>117</v>
      </c>
      <c r="C531" s="6" t="s">
        <v>127</v>
      </c>
      <c r="D531" s="6" t="s">
        <v>113</v>
      </c>
      <c r="E531" s="4" t="s">
        <v>1046</v>
      </c>
      <c r="F531" s="4" t="s">
        <v>878</v>
      </c>
      <c r="G531" s="11">
        <f>'5'!D237</f>
        <v>0</v>
      </c>
      <c r="H531" s="11">
        <f>'5'!E237</f>
        <v>0</v>
      </c>
      <c r="I531" s="11">
        <f>'5'!F237</f>
        <v>0</v>
      </c>
    </row>
    <row r="532" spans="1:16" ht="51" customHeight="1" x14ac:dyDescent="0.25">
      <c r="A532" s="255" t="s">
        <v>729</v>
      </c>
      <c r="B532" s="17">
        <v>951</v>
      </c>
      <c r="C532" s="6" t="s">
        <v>127</v>
      </c>
      <c r="D532" s="6" t="s">
        <v>113</v>
      </c>
      <c r="E532" s="4" t="s">
        <v>1046</v>
      </c>
      <c r="F532" s="4" t="s">
        <v>730</v>
      </c>
      <c r="G532" s="11">
        <f>G533</f>
        <v>13428.384</v>
      </c>
      <c r="H532" s="11">
        <f>H533</f>
        <v>9033.5999999999985</v>
      </c>
      <c r="I532" s="11">
        <f>I533</f>
        <v>0</v>
      </c>
      <c r="J532" s="7">
        <f>7335.85586-250</f>
        <v>7085.8558599999997</v>
      </c>
    </row>
    <row r="533" spans="1:16" ht="21.75" customHeight="1" x14ac:dyDescent="0.25">
      <c r="A533" s="255" t="s">
        <v>731</v>
      </c>
      <c r="B533" s="17">
        <v>951</v>
      </c>
      <c r="C533" s="6" t="s">
        <v>127</v>
      </c>
      <c r="D533" s="6" t="s">
        <v>113</v>
      </c>
      <c r="E533" s="4" t="s">
        <v>1046</v>
      </c>
      <c r="F533" s="4" t="s">
        <v>732</v>
      </c>
      <c r="G533" s="11">
        <f>'3'!F819</f>
        <v>13428.384</v>
      </c>
      <c r="H533" s="11">
        <f>'3'!G819</f>
        <v>9033.5999999999985</v>
      </c>
      <c r="I533" s="11">
        <f>'3'!H819</f>
        <v>0</v>
      </c>
    </row>
    <row r="534" spans="1:16" ht="99" customHeight="1" x14ac:dyDescent="0.25">
      <c r="A534" s="277" t="s">
        <v>964</v>
      </c>
      <c r="B534" s="42">
        <v>951</v>
      </c>
      <c r="C534" s="18" t="s">
        <v>127</v>
      </c>
      <c r="D534" s="18" t="s">
        <v>113</v>
      </c>
      <c r="E534" s="18" t="s">
        <v>482</v>
      </c>
      <c r="F534" s="18" t="s">
        <v>222</v>
      </c>
      <c r="G534" s="95">
        <f>G535+G537</f>
        <v>0</v>
      </c>
      <c r="H534" s="15">
        <f>H535+H537</f>
        <v>13550.4</v>
      </c>
      <c r="I534" s="15">
        <f>I535+I537</f>
        <v>0</v>
      </c>
    </row>
    <row r="535" spans="1:16" ht="56.25" customHeight="1" x14ac:dyDescent="0.25">
      <c r="A535" s="255" t="s">
        <v>729</v>
      </c>
      <c r="B535" s="17">
        <v>951</v>
      </c>
      <c r="C535" s="6" t="s">
        <v>127</v>
      </c>
      <c r="D535" s="6" t="s">
        <v>113</v>
      </c>
      <c r="E535" s="6" t="s">
        <v>482</v>
      </c>
      <c r="F535" s="6" t="s">
        <v>730</v>
      </c>
      <c r="G535" s="11">
        <f>G536</f>
        <v>0</v>
      </c>
      <c r="H535" s="13">
        <f>H536</f>
        <v>13550.4</v>
      </c>
      <c r="I535" s="13">
        <f>I536</f>
        <v>0</v>
      </c>
    </row>
    <row r="536" spans="1:16" ht="21.75" customHeight="1" x14ac:dyDescent="0.25">
      <c r="A536" s="255" t="s">
        <v>731</v>
      </c>
      <c r="B536" s="17">
        <v>951</v>
      </c>
      <c r="C536" s="6" t="s">
        <v>127</v>
      </c>
      <c r="D536" s="6" t="s">
        <v>113</v>
      </c>
      <c r="E536" s="6" t="s">
        <v>482</v>
      </c>
      <c r="F536" s="6" t="s">
        <v>732</v>
      </c>
      <c r="G536" s="11">
        <f>'3'!F822</f>
        <v>0</v>
      </c>
      <c r="H536" s="11">
        <f>'3'!G822</f>
        <v>13550.4</v>
      </c>
      <c r="I536" s="11">
        <f>'3'!H822</f>
        <v>0</v>
      </c>
    </row>
    <row r="537" spans="1:16" ht="16.5" hidden="1" customHeight="1" x14ac:dyDescent="0.25">
      <c r="A537" s="255"/>
      <c r="B537" s="17"/>
      <c r="C537" s="6"/>
      <c r="D537" s="6"/>
      <c r="E537" s="6"/>
      <c r="F537" s="6"/>
      <c r="G537" s="11"/>
      <c r="H537" s="13"/>
      <c r="I537" s="13"/>
    </row>
    <row r="538" spans="1:16" ht="16.5" hidden="1" customHeight="1" x14ac:dyDescent="0.25">
      <c r="A538" s="255"/>
      <c r="B538" s="17"/>
      <c r="C538" s="6"/>
      <c r="D538" s="6"/>
      <c r="E538" s="6"/>
      <c r="F538" s="6"/>
      <c r="G538" s="11"/>
      <c r="H538" s="13"/>
      <c r="I538" s="13"/>
    </row>
    <row r="539" spans="1:16" ht="16.5" hidden="1" customHeight="1" x14ac:dyDescent="0.25">
      <c r="A539" s="255"/>
      <c r="B539" s="17"/>
      <c r="C539" s="6"/>
      <c r="D539" s="6"/>
      <c r="E539" s="6"/>
      <c r="F539" s="6"/>
      <c r="G539" s="11"/>
      <c r="H539" s="13"/>
      <c r="I539" s="13"/>
      <c r="L539" s="175"/>
      <c r="M539" s="175"/>
      <c r="N539" s="175"/>
      <c r="O539" s="175"/>
      <c r="P539" s="175"/>
    </row>
    <row r="540" spans="1:16" ht="16.5" hidden="1" customHeight="1" x14ac:dyDescent="0.25">
      <c r="A540" s="255"/>
      <c r="B540" s="17"/>
      <c r="C540" s="6"/>
      <c r="D540" s="6"/>
      <c r="E540" s="6"/>
      <c r="F540" s="6"/>
      <c r="G540" s="11"/>
      <c r="H540" s="13"/>
      <c r="I540" s="13"/>
      <c r="L540" s="175"/>
      <c r="M540" s="175"/>
      <c r="N540" s="175"/>
      <c r="O540" s="175"/>
      <c r="P540" s="175"/>
    </row>
    <row r="541" spans="1:16" ht="16.5" hidden="1" customHeight="1" x14ac:dyDescent="0.25">
      <c r="A541" s="255"/>
      <c r="B541" s="17"/>
      <c r="C541" s="6"/>
      <c r="D541" s="6"/>
      <c r="E541" s="6"/>
      <c r="F541" s="6"/>
      <c r="G541" s="11"/>
      <c r="H541" s="13"/>
      <c r="I541" s="13"/>
      <c r="L541" s="175"/>
      <c r="M541" s="175"/>
      <c r="N541" s="175"/>
      <c r="O541" s="175"/>
      <c r="P541" s="175"/>
    </row>
    <row r="542" spans="1:16" ht="110.25" customHeight="1" x14ac:dyDescent="0.25">
      <c r="A542" s="277" t="s">
        <v>375</v>
      </c>
      <c r="B542" s="17">
        <v>951</v>
      </c>
      <c r="C542" s="6" t="s">
        <v>127</v>
      </c>
      <c r="D542" s="6" t="s">
        <v>113</v>
      </c>
      <c r="E542" s="6" t="s">
        <v>420</v>
      </c>
      <c r="F542" s="18" t="s">
        <v>222</v>
      </c>
      <c r="G542" s="95">
        <f>G543+G545</f>
        <v>11502.968130000001</v>
      </c>
      <c r="H542" s="15">
        <f>H543+H545</f>
        <v>15787.855009999999</v>
      </c>
      <c r="I542" s="15">
        <f>I543+I545</f>
        <v>0</v>
      </c>
      <c r="J542" s="7">
        <v>15187.989310000001</v>
      </c>
      <c r="L542" s="175"/>
      <c r="M542" s="175"/>
      <c r="N542" s="175"/>
      <c r="O542" s="175"/>
      <c r="P542" s="175"/>
    </row>
    <row r="543" spans="1:16" ht="36" customHeight="1" x14ac:dyDescent="0.25">
      <c r="A543" s="255" t="s">
        <v>676</v>
      </c>
      <c r="B543" s="17" t="s">
        <v>117</v>
      </c>
      <c r="C543" s="6" t="s">
        <v>127</v>
      </c>
      <c r="D543" s="6" t="s">
        <v>113</v>
      </c>
      <c r="E543" s="6" t="s">
        <v>420</v>
      </c>
      <c r="F543" s="6" t="s">
        <v>677</v>
      </c>
      <c r="G543" s="13">
        <f>G544</f>
        <v>150</v>
      </c>
      <c r="H543" s="13">
        <f>H544</f>
        <v>150</v>
      </c>
      <c r="I543" s="13">
        <f>I544</f>
        <v>0</v>
      </c>
    </row>
    <row r="544" spans="1:16" ht="49.5" customHeight="1" x14ac:dyDescent="0.25">
      <c r="A544" s="255" t="s">
        <v>678</v>
      </c>
      <c r="B544" s="17" t="s">
        <v>117</v>
      </c>
      <c r="C544" s="6" t="s">
        <v>127</v>
      </c>
      <c r="D544" s="6" t="s">
        <v>113</v>
      </c>
      <c r="E544" s="6" t="s">
        <v>420</v>
      </c>
      <c r="F544" s="6" t="s">
        <v>679</v>
      </c>
      <c r="G544" s="13">
        <f>'3'!F830</f>
        <v>150</v>
      </c>
      <c r="H544" s="13">
        <f>'3'!G830</f>
        <v>150</v>
      </c>
      <c r="I544" s="13">
        <f>'3'!H830</f>
        <v>0</v>
      </c>
    </row>
    <row r="545" spans="1:16" ht="33" customHeight="1" x14ac:dyDescent="0.25">
      <c r="A545" s="255" t="s">
        <v>832</v>
      </c>
      <c r="B545" s="17">
        <v>951</v>
      </c>
      <c r="C545" s="6" t="s">
        <v>127</v>
      </c>
      <c r="D545" s="6" t="s">
        <v>113</v>
      </c>
      <c r="E545" s="6" t="s">
        <v>420</v>
      </c>
      <c r="F545" s="6" t="s">
        <v>833</v>
      </c>
      <c r="G545" s="13">
        <f>G546+G547</f>
        <v>11352.968130000001</v>
      </c>
      <c r="H545" s="13">
        <f>H546+H547</f>
        <v>15637.855009999999</v>
      </c>
      <c r="I545" s="13">
        <f>I546+I547</f>
        <v>0</v>
      </c>
    </row>
    <row r="546" spans="1:16" ht="33" customHeight="1" x14ac:dyDescent="0.25">
      <c r="A546" s="255" t="s">
        <v>120</v>
      </c>
      <c r="B546" s="17" t="s">
        <v>117</v>
      </c>
      <c r="C546" s="6" t="s">
        <v>127</v>
      </c>
      <c r="D546" s="6" t="s">
        <v>113</v>
      </c>
      <c r="E546" s="6" t="s">
        <v>420</v>
      </c>
      <c r="F546" s="6" t="s">
        <v>121</v>
      </c>
      <c r="G546" s="13">
        <f>'3'!F832</f>
        <v>9137.9681300000011</v>
      </c>
      <c r="H546" s="13">
        <f>'3'!G832</f>
        <v>13622.855009999999</v>
      </c>
      <c r="I546" s="13">
        <f>'3'!H832</f>
        <v>0</v>
      </c>
      <c r="J546" s="45">
        <f>J542-G544-G547</f>
        <v>12822.989310000001</v>
      </c>
      <c r="L546" s="175"/>
      <c r="M546" s="175"/>
      <c r="N546" s="175"/>
      <c r="O546" s="175"/>
      <c r="P546" s="175"/>
    </row>
    <row r="547" spans="1:16" ht="36.75" customHeight="1" x14ac:dyDescent="0.25">
      <c r="A547" s="255" t="s">
        <v>122</v>
      </c>
      <c r="B547" s="17">
        <v>951</v>
      </c>
      <c r="C547" s="6" t="s">
        <v>127</v>
      </c>
      <c r="D547" s="6" t="s">
        <v>113</v>
      </c>
      <c r="E547" s="6" t="s">
        <v>420</v>
      </c>
      <c r="F547" s="6" t="s">
        <v>878</v>
      </c>
      <c r="G547" s="11">
        <f>'3'!F833</f>
        <v>2215</v>
      </c>
      <c r="H547" s="13">
        <f>'3'!G833</f>
        <v>2015</v>
      </c>
      <c r="I547" s="13">
        <f>'3'!H833</f>
        <v>0</v>
      </c>
    </row>
    <row r="548" spans="1:16" ht="85.9" hidden="1" customHeight="1" x14ac:dyDescent="0.25">
      <c r="A548" s="277" t="s">
        <v>376</v>
      </c>
      <c r="B548" s="17">
        <v>951</v>
      </c>
      <c r="C548" s="6" t="s">
        <v>127</v>
      </c>
      <c r="D548" s="6" t="s">
        <v>113</v>
      </c>
      <c r="E548" s="6" t="s">
        <v>421</v>
      </c>
      <c r="F548" s="18" t="s">
        <v>222</v>
      </c>
      <c r="G548" s="15">
        <f>G549+G551</f>
        <v>0</v>
      </c>
      <c r="H548" s="15">
        <f>H549+H551</f>
        <v>0</v>
      </c>
      <c r="I548" s="15">
        <f>I549+I551</f>
        <v>0</v>
      </c>
    </row>
    <row r="549" spans="1:16" ht="31.15" hidden="1" customHeight="1" x14ac:dyDescent="0.25">
      <c r="A549" s="255" t="s">
        <v>676</v>
      </c>
      <c r="B549" s="17" t="s">
        <v>117</v>
      </c>
      <c r="C549" s="6" t="s">
        <v>127</v>
      </c>
      <c r="D549" s="6" t="s">
        <v>113</v>
      </c>
      <c r="E549" s="6" t="s">
        <v>421</v>
      </c>
      <c r="F549" s="6" t="s">
        <v>677</v>
      </c>
      <c r="G549" s="13">
        <f>G550</f>
        <v>0</v>
      </c>
      <c r="H549" s="13">
        <f>H550</f>
        <v>0</v>
      </c>
      <c r="I549" s="13">
        <f>I550</f>
        <v>0</v>
      </c>
    </row>
    <row r="550" spans="1:16" ht="43.15" hidden="1" customHeight="1" x14ac:dyDescent="0.25">
      <c r="A550" s="255" t="s">
        <v>678</v>
      </c>
      <c r="B550" s="17" t="s">
        <v>117</v>
      </c>
      <c r="C550" s="6" t="s">
        <v>127</v>
      </c>
      <c r="D550" s="6" t="s">
        <v>113</v>
      </c>
      <c r="E550" s="6" t="s">
        <v>421</v>
      </c>
      <c r="F550" s="6" t="s">
        <v>679</v>
      </c>
      <c r="G550" s="13"/>
      <c r="H550" s="13"/>
      <c r="I550" s="13"/>
    </row>
    <row r="551" spans="1:16" ht="29.25" hidden="1" customHeight="1" x14ac:dyDescent="0.25">
      <c r="A551" s="255" t="s">
        <v>832</v>
      </c>
      <c r="B551" s="17">
        <v>951</v>
      </c>
      <c r="C551" s="6" t="s">
        <v>127</v>
      </c>
      <c r="D551" s="6" t="s">
        <v>113</v>
      </c>
      <c r="E551" s="6" t="s">
        <v>421</v>
      </c>
      <c r="F551" s="6" t="s">
        <v>833</v>
      </c>
      <c r="G551" s="13">
        <f>G552</f>
        <v>0</v>
      </c>
      <c r="H551" s="13">
        <f>H552</f>
        <v>0</v>
      </c>
      <c r="I551" s="13">
        <f>I552</f>
        <v>0</v>
      </c>
    </row>
    <row r="552" spans="1:16" ht="29.25" hidden="1" customHeight="1" x14ac:dyDescent="0.25">
      <c r="A552" s="255" t="s">
        <v>120</v>
      </c>
      <c r="B552" s="17">
        <v>951</v>
      </c>
      <c r="C552" s="6" t="s">
        <v>127</v>
      </c>
      <c r="D552" s="6" t="s">
        <v>113</v>
      </c>
      <c r="E552" s="6" t="s">
        <v>421</v>
      </c>
      <c r="F552" s="6" t="s">
        <v>121</v>
      </c>
      <c r="G552" s="13"/>
      <c r="H552" s="13"/>
      <c r="I552" s="13"/>
    </row>
    <row r="553" spans="1:16" s="175" customFormat="1" ht="50.25" customHeight="1" x14ac:dyDescent="0.25">
      <c r="A553" s="263" t="s">
        <v>630</v>
      </c>
      <c r="B553" s="42">
        <v>951</v>
      </c>
      <c r="C553" s="18" t="s">
        <v>127</v>
      </c>
      <c r="D553" s="18" t="s">
        <v>113</v>
      </c>
      <c r="E553" s="4" t="s">
        <v>631</v>
      </c>
      <c r="F553" s="4" t="s">
        <v>222</v>
      </c>
      <c r="G553" s="11">
        <f>G557+G554</f>
        <v>1911.2709</v>
      </c>
      <c r="H553" s="11">
        <f>H557+H554</f>
        <v>3590.68487</v>
      </c>
      <c r="I553" s="11">
        <f>I557+I554</f>
        <v>3691.67353</v>
      </c>
      <c r="L553" s="7"/>
      <c r="M553" s="7"/>
      <c r="N553" s="7"/>
      <c r="O553" s="7"/>
      <c r="P553" s="7"/>
    </row>
    <row r="554" spans="1:16" s="175" customFormat="1" ht="63.75" hidden="1" customHeight="1" x14ac:dyDescent="0.25">
      <c r="A554" s="263" t="s">
        <v>1002</v>
      </c>
      <c r="B554" s="42">
        <v>951</v>
      </c>
      <c r="C554" s="18" t="s">
        <v>127</v>
      </c>
      <c r="D554" s="18" t="s">
        <v>113</v>
      </c>
      <c r="E554" s="4" t="s">
        <v>657</v>
      </c>
      <c r="F554" s="4" t="s">
        <v>222</v>
      </c>
      <c r="G554" s="11">
        <f>G555</f>
        <v>0</v>
      </c>
      <c r="H554" s="11">
        <f t="shared" ref="H554:J555" si="113">H555</f>
        <v>0</v>
      </c>
      <c r="I554" s="11">
        <f t="shared" si="113"/>
        <v>0</v>
      </c>
      <c r="J554" s="11">
        <f t="shared" si="113"/>
        <v>0</v>
      </c>
      <c r="L554" s="7"/>
      <c r="M554" s="7"/>
      <c r="N554" s="7"/>
      <c r="O554" s="7"/>
      <c r="P554" s="7"/>
    </row>
    <row r="555" spans="1:16" s="175" customFormat="1" ht="35.25" hidden="1" customHeight="1" x14ac:dyDescent="0.25">
      <c r="A555" s="254" t="s">
        <v>832</v>
      </c>
      <c r="B555" s="42">
        <v>951</v>
      </c>
      <c r="C555" s="18" t="s">
        <v>127</v>
      </c>
      <c r="D555" s="18" t="s">
        <v>113</v>
      </c>
      <c r="E555" s="4" t="s">
        <v>657</v>
      </c>
      <c r="F555" s="6" t="s">
        <v>833</v>
      </c>
      <c r="G555" s="11">
        <f>G556</f>
        <v>0</v>
      </c>
      <c r="H555" s="11">
        <f t="shared" si="113"/>
        <v>0</v>
      </c>
      <c r="I555" s="11">
        <f t="shared" si="113"/>
        <v>0</v>
      </c>
      <c r="J555" s="11">
        <f t="shared" si="113"/>
        <v>0</v>
      </c>
      <c r="L555" s="7"/>
      <c r="M555" s="7"/>
      <c r="N555" s="7"/>
      <c r="O555" s="7"/>
      <c r="P555" s="7"/>
    </row>
    <row r="556" spans="1:16" s="175" customFormat="1" ht="33" hidden="1" customHeight="1" x14ac:dyDescent="0.25">
      <c r="A556" s="254" t="s">
        <v>122</v>
      </c>
      <c r="B556" s="42">
        <v>951</v>
      </c>
      <c r="C556" s="18" t="s">
        <v>127</v>
      </c>
      <c r="D556" s="18" t="s">
        <v>113</v>
      </c>
      <c r="E556" s="4" t="s">
        <v>657</v>
      </c>
      <c r="F556" s="6" t="s">
        <v>878</v>
      </c>
      <c r="G556" s="11">
        <f>'5'!D245</f>
        <v>0</v>
      </c>
      <c r="H556" s="11">
        <f>'5'!E245</f>
        <v>0</v>
      </c>
      <c r="I556" s="11">
        <f>'5'!F245</f>
        <v>0</v>
      </c>
      <c r="L556" s="7"/>
      <c r="M556" s="7"/>
      <c r="N556" s="7"/>
      <c r="O556" s="7"/>
      <c r="P556" s="7"/>
    </row>
    <row r="557" spans="1:16" ht="31.5" customHeight="1" x14ac:dyDescent="0.25">
      <c r="A557" s="279" t="s">
        <v>832</v>
      </c>
      <c r="B557" s="42">
        <v>951</v>
      </c>
      <c r="C557" s="18" t="s">
        <v>127</v>
      </c>
      <c r="D557" s="18" t="s">
        <v>113</v>
      </c>
      <c r="E557" s="4" t="s">
        <v>632</v>
      </c>
      <c r="F557" s="6" t="s">
        <v>833</v>
      </c>
      <c r="G557" s="11">
        <f>G558</f>
        <v>1911.2709</v>
      </c>
      <c r="H557" s="11">
        <f>H558</f>
        <v>3590.68487</v>
      </c>
      <c r="I557" s="11">
        <f>I558</f>
        <v>3691.67353</v>
      </c>
    </row>
    <row r="558" spans="1:16" ht="34.5" customHeight="1" x14ac:dyDescent="0.25">
      <c r="A558" s="255" t="s">
        <v>122</v>
      </c>
      <c r="B558" s="42">
        <v>951</v>
      </c>
      <c r="C558" s="18" t="s">
        <v>127</v>
      </c>
      <c r="D558" s="18" t="s">
        <v>113</v>
      </c>
      <c r="E558" s="4" t="s">
        <v>632</v>
      </c>
      <c r="F558" s="6" t="s">
        <v>878</v>
      </c>
      <c r="G558" s="11">
        <f>'5'!D246</f>
        <v>1911.2709</v>
      </c>
      <c r="H558" s="11">
        <f>'5'!E246</f>
        <v>3590.68487</v>
      </c>
      <c r="I558" s="11">
        <f>'5'!F246</f>
        <v>3691.67353</v>
      </c>
    </row>
    <row r="559" spans="1:16" ht="48.75" customHeight="1" x14ac:dyDescent="0.25">
      <c r="A559" s="266" t="s">
        <v>669</v>
      </c>
      <c r="B559" s="19">
        <v>951</v>
      </c>
      <c r="C559" s="20" t="s">
        <v>127</v>
      </c>
      <c r="D559" s="20" t="s">
        <v>113</v>
      </c>
      <c r="E559" s="78" t="s">
        <v>6</v>
      </c>
      <c r="F559" s="20" t="s">
        <v>222</v>
      </c>
      <c r="G559" s="21">
        <f>G560</f>
        <v>0</v>
      </c>
      <c r="H559" s="21">
        <f t="shared" ref="H559" si="114">H560</f>
        <v>0</v>
      </c>
      <c r="I559" s="21">
        <f>I560</f>
        <v>38953.454879999998</v>
      </c>
    </row>
    <row r="560" spans="1:16" s="175" customFormat="1" ht="49.5" customHeight="1" x14ac:dyDescent="0.25">
      <c r="A560" s="277" t="s">
        <v>110</v>
      </c>
      <c r="B560" s="42">
        <v>951</v>
      </c>
      <c r="C560" s="18" t="s">
        <v>127</v>
      </c>
      <c r="D560" s="18" t="s">
        <v>113</v>
      </c>
      <c r="E560" s="158" t="s">
        <v>6</v>
      </c>
      <c r="F560" s="158" t="s">
        <v>222</v>
      </c>
      <c r="G560" s="15">
        <f>G561+G564+G567</f>
        <v>0</v>
      </c>
      <c r="H560" s="15">
        <f t="shared" ref="H560:I560" si="115">H561+H564+H567</f>
        <v>0</v>
      </c>
      <c r="I560" s="15">
        <f t="shared" si="115"/>
        <v>38953.454879999998</v>
      </c>
      <c r="L560" s="7"/>
      <c r="M560" s="7"/>
      <c r="N560" s="7"/>
      <c r="O560" s="7"/>
      <c r="P560" s="7"/>
    </row>
    <row r="561" spans="1:16" ht="91.5" customHeight="1" x14ac:dyDescent="0.25">
      <c r="A561" s="277" t="s">
        <v>963</v>
      </c>
      <c r="B561" s="42" t="s">
        <v>117</v>
      </c>
      <c r="C561" s="18" t="s">
        <v>127</v>
      </c>
      <c r="D561" s="18" t="s">
        <v>113</v>
      </c>
      <c r="E561" s="4" t="s">
        <v>1047</v>
      </c>
      <c r="F561" s="4" t="s">
        <v>222</v>
      </c>
      <c r="G561" s="13">
        <f>G562</f>
        <v>0</v>
      </c>
      <c r="H561" s="13">
        <f t="shared" ref="H561:I561" si="116">H562</f>
        <v>0</v>
      </c>
      <c r="I561" s="13">
        <f t="shared" si="116"/>
        <v>9033.6</v>
      </c>
    </row>
    <row r="562" spans="1:16" ht="29.25" customHeight="1" x14ac:dyDescent="0.25">
      <c r="A562" s="255" t="s">
        <v>729</v>
      </c>
      <c r="B562" s="42">
        <v>951</v>
      </c>
      <c r="C562" s="18" t="s">
        <v>127</v>
      </c>
      <c r="D562" s="18" t="s">
        <v>113</v>
      </c>
      <c r="E562" s="4" t="s">
        <v>1047</v>
      </c>
      <c r="F562" s="4" t="s">
        <v>730</v>
      </c>
      <c r="G562" s="13">
        <f>G563</f>
        <v>0</v>
      </c>
      <c r="H562" s="13">
        <f t="shared" ref="H562:I562" si="117">H563</f>
        <v>0</v>
      </c>
      <c r="I562" s="13">
        <f t="shared" si="117"/>
        <v>9033.6</v>
      </c>
    </row>
    <row r="563" spans="1:16" ht="18" customHeight="1" x14ac:dyDescent="0.25">
      <c r="A563" s="255" t="s">
        <v>731</v>
      </c>
      <c r="B563" s="42" t="s">
        <v>117</v>
      </c>
      <c r="C563" s="18" t="s">
        <v>127</v>
      </c>
      <c r="D563" s="18" t="s">
        <v>113</v>
      </c>
      <c r="E563" s="4" t="s">
        <v>1047</v>
      </c>
      <c r="F563" s="4" t="s">
        <v>732</v>
      </c>
      <c r="G563" s="13">
        <v>0</v>
      </c>
      <c r="H563" s="13">
        <v>0</v>
      </c>
      <c r="I563" s="13">
        <v>9033.6</v>
      </c>
      <c r="L563" s="175"/>
      <c r="M563" s="175"/>
      <c r="N563" s="175"/>
      <c r="O563" s="175"/>
      <c r="P563" s="175"/>
    </row>
    <row r="564" spans="1:16" ht="103.5" customHeight="1" x14ac:dyDescent="0.25">
      <c r="A564" s="277" t="s">
        <v>964</v>
      </c>
      <c r="B564" s="17">
        <v>951</v>
      </c>
      <c r="C564" s="6" t="s">
        <v>127</v>
      </c>
      <c r="D564" s="6" t="s">
        <v>113</v>
      </c>
      <c r="E564" s="6" t="s">
        <v>503</v>
      </c>
      <c r="F564" s="6" t="s">
        <v>222</v>
      </c>
      <c r="G564" s="13">
        <f>G565</f>
        <v>0</v>
      </c>
      <c r="H564" s="13">
        <f t="shared" ref="H564:I565" si="118">H565</f>
        <v>0</v>
      </c>
      <c r="I564" s="13">
        <f t="shared" si="118"/>
        <v>13550.4</v>
      </c>
    </row>
    <row r="565" spans="1:16" ht="51" customHeight="1" x14ac:dyDescent="0.25">
      <c r="A565" s="255" t="s">
        <v>729</v>
      </c>
      <c r="B565" s="17">
        <v>951</v>
      </c>
      <c r="C565" s="6" t="s">
        <v>127</v>
      </c>
      <c r="D565" s="6" t="s">
        <v>113</v>
      </c>
      <c r="E565" s="6" t="s">
        <v>503</v>
      </c>
      <c r="F565" s="6" t="s">
        <v>730</v>
      </c>
      <c r="G565" s="13">
        <f>G566</f>
        <v>0</v>
      </c>
      <c r="H565" s="13">
        <f t="shared" si="118"/>
        <v>0</v>
      </c>
      <c r="I565" s="13">
        <f t="shared" si="118"/>
        <v>13550.4</v>
      </c>
    </row>
    <row r="566" spans="1:16" ht="17.25" customHeight="1" x14ac:dyDescent="0.25">
      <c r="A566" s="255" t="s">
        <v>731</v>
      </c>
      <c r="B566" s="17">
        <v>951</v>
      </c>
      <c r="C566" s="6" t="s">
        <v>127</v>
      </c>
      <c r="D566" s="6" t="s">
        <v>113</v>
      </c>
      <c r="E566" s="6" t="s">
        <v>503</v>
      </c>
      <c r="F566" s="6" t="s">
        <v>732</v>
      </c>
      <c r="G566" s="13">
        <v>0</v>
      </c>
      <c r="H566" s="13">
        <v>0</v>
      </c>
      <c r="I566" s="13">
        <v>13550.4</v>
      </c>
    </row>
    <row r="567" spans="1:16" ht="108.75" customHeight="1" x14ac:dyDescent="0.25">
      <c r="A567" s="277" t="s">
        <v>375</v>
      </c>
      <c r="B567" s="17">
        <v>951</v>
      </c>
      <c r="C567" s="6" t="s">
        <v>127</v>
      </c>
      <c r="D567" s="6" t="s">
        <v>113</v>
      </c>
      <c r="E567" s="6" t="s">
        <v>382</v>
      </c>
      <c r="F567" s="18" t="s">
        <v>222</v>
      </c>
      <c r="G567" s="13">
        <f>G568+G570</f>
        <v>0</v>
      </c>
      <c r="H567" s="13">
        <f t="shared" ref="H567:I567" si="119">H568+H570</f>
        <v>0</v>
      </c>
      <c r="I567" s="13">
        <f t="shared" si="119"/>
        <v>16369.454879999999</v>
      </c>
    </row>
    <row r="568" spans="1:16" ht="33" customHeight="1" x14ac:dyDescent="0.25">
      <c r="A568" s="255" t="s">
        <v>676</v>
      </c>
      <c r="B568" s="17" t="s">
        <v>117</v>
      </c>
      <c r="C568" s="6" t="s">
        <v>127</v>
      </c>
      <c r="D568" s="6" t="s">
        <v>113</v>
      </c>
      <c r="E568" s="6" t="s">
        <v>382</v>
      </c>
      <c r="F568" s="6" t="s">
        <v>677</v>
      </c>
      <c r="G568" s="13">
        <f>G569</f>
        <v>0</v>
      </c>
      <c r="H568" s="13">
        <f t="shared" ref="H568:I568" si="120">H569</f>
        <v>0</v>
      </c>
      <c r="I568" s="13">
        <f t="shared" si="120"/>
        <v>150</v>
      </c>
    </row>
    <row r="569" spans="1:16" ht="36" customHeight="1" x14ac:dyDescent="0.25">
      <c r="A569" s="255" t="s">
        <v>678</v>
      </c>
      <c r="B569" s="17" t="s">
        <v>117</v>
      </c>
      <c r="C569" s="6" t="s">
        <v>127</v>
      </c>
      <c r="D569" s="6" t="s">
        <v>113</v>
      </c>
      <c r="E569" s="6" t="s">
        <v>382</v>
      </c>
      <c r="F569" s="6" t="s">
        <v>679</v>
      </c>
      <c r="G569" s="13">
        <v>0</v>
      </c>
      <c r="H569" s="13">
        <v>0</v>
      </c>
      <c r="I569" s="13">
        <v>150</v>
      </c>
    </row>
    <row r="570" spans="1:16" ht="29.25" customHeight="1" x14ac:dyDescent="0.25">
      <c r="A570" s="255" t="s">
        <v>832</v>
      </c>
      <c r="B570" s="17">
        <v>951</v>
      </c>
      <c r="C570" s="6" t="s">
        <v>127</v>
      </c>
      <c r="D570" s="6" t="s">
        <v>113</v>
      </c>
      <c r="E570" s="6" t="s">
        <v>382</v>
      </c>
      <c r="F570" s="6" t="s">
        <v>833</v>
      </c>
      <c r="G570" s="13">
        <f>G571+G572</f>
        <v>0</v>
      </c>
      <c r="H570" s="13">
        <f t="shared" ref="H570:I570" si="121">H571+H572</f>
        <v>0</v>
      </c>
      <c r="I570" s="13">
        <f t="shared" si="121"/>
        <v>16219.454879999999</v>
      </c>
    </row>
    <row r="571" spans="1:16" ht="29.25" customHeight="1" x14ac:dyDescent="0.25">
      <c r="A571" s="255" t="s">
        <v>120</v>
      </c>
      <c r="B571" s="17" t="s">
        <v>117</v>
      </c>
      <c r="C571" s="6" t="s">
        <v>127</v>
      </c>
      <c r="D571" s="6" t="s">
        <v>113</v>
      </c>
      <c r="E571" s="6" t="s">
        <v>382</v>
      </c>
      <c r="F571" s="6" t="s">
        <v>121</v>
      </c>
      <c r="G571" s="13">
        <v>0</v>
      </c>
      <c r="H571" s="13">
        <v>0</v>
      </c>
      <c r="I571" s="13">
        <v>14404.454879999999</v>
      </c>
    </row>
    <row r="572" spans="1:16" ht="32.25" customHeight="1" x14ac:dyDescent="0.25">
      <c r="A572" s="255" t="s">
        <v>122</v>
      </c>
      <c r="B572" s="17">
        <v>951</v>
      </c>
      <c r="C572" s="6" t="s">
        <v>127</v>
      </c>
      <c r="D572" s="6" t="s">
        <v>113</v>
      </c>
      <c r="E572" s="6" t="s">
        <v>382</v>
      </c>
      <c r="F572" s="6" t="s">
        <v>878</v>
      </c>
      <c r="G572" s="13">
        <v>0</v>
      </c>
      <c r="H572" s="13">
        <v>0</v>
      </c>
      <c r="I572" s="13">
        <v>1815</v>
      </c>
    </row>
    <row r="573" spans="1:16" ht="29.25" hidden="1" customHeight="1" x14ac:dyDescent="0.25">
      <c r="A573" s="255"/>
      <c r="B573" s="42"/>
      <c r="C573" s="18"/>
      <c r="D573" s="18"/>
      <c r="E573" s="4"/>
      <c r="F573" s="6"/>
      <c r="G573" s="13"/>
      <c r="H573" s="13"/>
      <c r="I573" s="13"/>
    </row>
    <row r="574" spans="1:16" ht="26.25" customHeight="1" x14ac:dyDescent="0.25">
      <c r="A574" s="313" t="s">
        <v>1044</v>
      </c>
      <c r="B574" s="190" t="s">
        <v>117</v>
      </c>
      <c r="C574" s="191" t="s">
        <v>127</v>
      </c>
      <c r="D574" s="191" t="s">
        <v>687</v>
      </c>
      <c r="E574" s="191" t="s">
        <v>666</v>
      </c>
      <c r="F574" s="191" t="s">
        <v>222</v>
      </c>
      <c r="G574" s="192">
        <f>G575</f>
        <v>2582.8830000000003</v>
      </c>
      <c r="H574" s="192">
        <f t="shared" ref="H574:J574" si="122">H575</f>
        <v>2607.136</v>
      </c>
      <c r="I574" s="192">
        <f t="shared" si="122"/>
        <v>2705.1170000000002</v>
      </c>
      <c r="J574" s="13">
        <f t="shared" si="122"/>
        <v>0</v>
      </c>
    </row>
    <row r="575" spans="1:16" ht="34.5" customHeight="1" x14ac:dyDescent="0.25">
      <c r="A575" s="255" t="str">
        <f>A388</f>
        <v>Непрограммные направления деятельности органов местного самоуправления</v>
      </c>
      <c r="B575" s="42">
        <v>951</v>
      </c>
      <c r="C575" s="18" t="s">
        <v>127</v>
      </c>
      <c r="D575" s="18" t="s">
        <v>687</v>
      </c>
      <c r="E575" s="6" t="s">
        <v>5</v>
      </c>
      <c r="F575" s="6" t="s">
        <v>222</v>
      </c>
      <c r="G575" s="13">
        <f>G576</f>
        <v>2582.8830000000003</v>
      </c>
      <c r="H575" s="13">
        <f t="shared" ref="H575:I575" si="123">H576</f>
        <v>2607.136</v>
      </c>
      <c r="I575" s="13">
        <f t="shared" si="123"/>
        <v>2705.1170000000002</v>
      </c>
    </row>
    <row r="576" spans="1:16" ht="48.75" customHeight="1" x14ac:dyDescent="0.25">
      <c r="A576" s="255" t="str">
        <f>A389</f>
        <v>Мероприятия непрограммных направлений деятельности органов местного самоуправления</v>
      </c>
      <c r="B576" s="42">
        <v>951</v>
      </c>
      <c r="C576" s="18" t="s">
        <v>127</v>
      </c>
      <c r="D576" s="18" t="s">
        <v>687</v>
      </c>
      <c r="E576" s="6" t="s">
        <v>6</v>
      </c>
      <c r="F576" s="6" t="s">
        <v>222</v>
      </c>
      <c r="G576" s="13">
        <f>G577</f>
        <v>2582.8830000000003</v>
      </c>
      <c r="H576" s="13">
        <f t="shared" ref="H576:I576" si="124">H577</f>
        <v>2607.136</v>
      </c>
      <c r="I576" s="13">
        <f t="shared" si="124"/>
        <v>2705.1170000000002</v>
      </c>
    </row>
    <row r="577" spans="1:16" s="175" customFormat="1" ht="80.25" customHeight="1" x14ac:dyDescent="0.25">
      <c r="A577" s="277" t="str">
        <f>A395</f>
        <v xml:space="preserve">Субвенции бюджетам муниципальных районов Приморского края на реализацию государственных полномочий органов опеки и попечительства в отношении несовершеннолетних </v>
      </c>
      <c r="B577" s="42">
        <v>951</v>
      </c>
      <c r="C577" s="18" t="s">
        <v>127</v>
      </c>
      <c r="D577" s="18" t="s">
        <v>687</v>
      </c>
      <c r="E577" s="18" t="s">
        <v>381</v>
      </c>
      <c r="F577" s="18" t="s">
        <v>222</v>
      </c>
      <c r="G577" s="15">
        <f>G578+G580</f>
        <v>2582.8830000000003</v>
      </c>
      <c r="H577" s="15">
        <f t="shared" ref="H577:I577" si="125">H578+H580</f>
        <v>2607.136</v>
      </c>
      <c r="I577" s="15">
        <f t="shared" si="125"/>
        <v>2705.1170000000002</v>
      </c>
      <c r="L577" s="7"/>
      <c r="M577" s="7"/>
      <c r="N577" s="7"/>
      <c r="O577" s="7"/>
      <c r="P577" s="7"/>
    </row>
    <row r="578" spans="1:16" ht="96.75" customHeight="1" x14ac:dyDescent="0.25">
      <c r="A578" s="255" t="s">
        <v>670</v>
      </c>
      <c r="B578" s="42">
        <v>951</v>
      </c>
      <c r="C578" s="18" t="s">
        <v>127</v>
      </c>
      <c r="D578" s="18" t="s">
        <v>687</v>
      </c>
      <c r="E578" s="6" t="s">
        <v>381</v>
      </c>
      <c r="F578" s="6" t="s">
        <v>671</v>
      </c>
      <c r="G578" s="13">
        <f>G579</f>
        <v>2288.3009300000003</v>
      </c>
      <c r="H578" s="13">
        <f t="shared" ref="H578:I578" si="126">H579</f>
        <v>2163.38</v>
      </c>
      <c r="I578" s="13">
        <f t="shared" si="126"/>
        <v>2163.38</v>
      </c>
    </row>
    <row r="579" spans="1:16" ht="39" customHeight="1" x14ac:dyDescent="0.25">
      <c r="A579" s="255" t="s">
        <v>672</v>
      </c>
      <c r="B579" s="42">
        <v>951</v>
      </c>
      <c r="C579" s="18" t="s">
        <v>127</v>
      </c>
      <c r="D579" s="18" t="s">
        <v>687</v>
      </c>
      <c r="E579" s="6" t="s">
        <v>381</v>
      </c>
      <c r="F579" s="6" t="s">
        <v>673</v>
      </c>
      <c r="G579" s="13">
        <f>'3'!F864</f>
        <v>2288.3009300000003</v>
      </c>
      <c r="H579" s="13">
        <f>'3'!G864</f>
        <v>2163.38</v>
      </c>
      <c r="I579" s="13">
        <f>'3'!H864</f>
        <v>2163.38</v>
      </c>
    </row>
    <row r="580" spans="1:16" ht="35.25" customHeight="1" x14ac:dyDescent="0.25">
      <c r="A580" s="255" t="s">
        <v>676</v>
      </c>
      <c r="B580" s="42">
        <v>951</v>
      </c>
      <c r="C580" s="18" t="s">
        <v>127</v>
      </c>
      <c r="D580" s="18" t="s">
        <v>687</v>
      </c>
      <c r="E580" s="6" t="s">
        <v>381</v>
      </c>
      <c r="F580" s="6" t="s">
        <v>677</v>
      </c>
      <c r="G580" s="13">
        <f>G581</f>
        <v>294.58206999999999</v>
      </c>
      <c r="H580" s="13">
        <f t="shared" ref="H580:I580" si="127">H581</f>
        <v>443.75599999999997</v>
      </c>
      <c r="I580" s="13">
        <f t="shared" si="127"/>
        <v>541.73699999999997</v>
      </c>
    </row>
    <row r="581" spans="1:16" ht="46.5" customHeight="1" x14ac:dyDescent="0.25">
      <c r="A581" s="255" t="s">
        <v>678</v>
      </c>
      <c r="B581" s="42">
        <v>951</v>
      </c>
      <c r="C581" s="18" t="s">
        <v>127</v>
      </c>
      <c r="D581" s="18" t="s">
        <v>687</v>
      </c>
      <c r="E581" s="6" t="s">
        <v>381</v>
      </c>
      <c r="F581" s="6" t="s">
        <v>679</v>
      </c>
      <c r="G581" s="13">
        <f>'3'!F866</f>
        <v>294.58206999999999</v>
      </c>
      <c r="H581" s="13">
        <f>'3'!G866</f>
        <v>443.75599999999997</v>
      </c>
      <c r="I581" s="13">
        <f>'3'!H866</f>
        <v>541.73699999999997</v>
      </c>
      <c r="J581" s="13" t="e">
        <f>'3'!#REF!</f>
        <v>#REF!</v>
      </c>
    </row>
    <row r="582" spans="1:16" x14ac:dyDescent="0.25">
      <c r="A582" s="303" t="s">
        <v>886</v>
      </c>
      <c r="B582" s="185">
        <v>951</v>
      </c>
      <c r="C582" s="184" t="s">
        <v>692</v>
      </c>
      <c r="D582" s="184" t="s">
        <v>109</v>
      </c>
      <c r="E582" s="184" t="s">
        <v>666</v>
      </c>
      <c r="F582" s="184" t="s">
        <v>222</v>
      </c>
      <c r="G582" s="178">
        <f>G583</f>
        <v>650</v>
      </c>
      <c r="H582" s="178">
        <f t="shared" ref="H582:I586" si="128">H583</f>
        <v>250</v>
      </c>
      <c r="I582" s="178">
        <f t="shared" si="128"/>
        <v>300</v>
      </c>
    </row>
    <row r="583" spans="1:16" x14ac:dyDescent="0.25">
      <c r="A583" s="301" t="s">
        <v>887</v>
      </c>
      <c r="B583" s="179">
        <v>951</v>
      </c>
      <c r="C583" s="180" t="s">
        <v>692</v>
      </c>
      <c r="D583" s="180" t="s">
        <v>668</v>
      </c>
      <c r="E583" s="180" t="s">
        <v>666</v>
      </c>
      <c r="F583" s="180" t="s">
        <v>222</v>
      </c>
      <c r="G583" s="181">
        <f>G584</f>
        <v>650</v>
      </c>
      <c r="H583" s="181">
        <f t="shared" si="128"/>
        <v>250</v>
      </c>
      <c r="I583" s="181">
        <f t="shared" si="128"/>
        <v>300</v>
      </c>
    </row>
    <row r="584" spans="1:16" ht="64.5" customHeight="1" x14ac:dyDescent="0.25">
      <c r="A584" s="277" t="s">
        <v>557</v>
      </c>
      <c r="B584" s="42">
        <v>951</v>
      </c>
      <c r="C584" s="18" t="s">
        <v>692</v>
      </c>
      <c r="D584" s="18" t="s">
        <v>668</v>
      </c>
      <c r="E584" s="18" t="s">
        <v>71</v>
      </c>
      <c r="F584" s="18" t="s">
        <v>222</v>
      </c>
      <c r="G584" s="15">
        <f>G585+G588+G599+G604+G608+G615+G622</f>
        <v>650</v>
      </c>
      <c r="H584" s="15">
        <f>H585+H588+H604+H608+H615+H622</f>
        <v>250</v>
      </c>
      <c r="I584" s="15">
        <f>I585+I588+I604+I608+I615+I622</f>
        <v>300</v>
      </c>
    </row>
    <row r="585" spans="1:16" ht="34.5" customHeight="1" x14ac:dyDescent="0.25">
      <c r="A585" s="255" t="s">
        <v>888</v>
      </c>
      <c r="B585" s="17">
        <v>951</v>
      </c>
      <c r="C585" s="6" t="s">
        <v>692</v>
      </c>
      <c r="D585" s="6" t="s">
        <v>668</v>
      </c>
      <c r="E585" s="6" t="s">
        <v>72</v>
      </c>
      <c r="F585" s="6" t="s">
        <v>222</v>
      </c>
      <c r="G585" s="13">
        <f>G586</f>
        <v>150</v>
      </c>
      <c r="H585" s="13">
        <f t="shared" si="128"/>
        <v>250</v>
      </c>
      <c r="I585" s="13">
        <f t="shared" si="128"/>
        <v>300</v>
      </c>
    </row>
    <row r="586" spans="1:16" ht="35.25" customHeight="1" x14ac:dyDescent="0.25">
      <c r="A586" s="255" t="s">
        <v>676</v>
      </c>
      <c r="B586" s="17">
        <v>951</v>
      </c>
      <c r="C586" s="6" t="s">
        <v>692</v>
      </c>
      <c r="D586" s="6" t="s">
        <v>668</v>
      </c>
      <c r="E586" s="6" t="s">
        <v>72</v>
      </c>
      <c r="F586" s="6" t="s">
        <v>677</v>
      </c>
      <c r="G586" s="13">
        <f>G587</f>
        <v>150</v>
      </c>
      <c r="H586" s="13">
        <f t="shared" si="128"/>
        <v>250</v>
      </c>
      <c r="I586" s="13">
        <f t="shared" si="128"/>
        <v>300</v>
      </c>
    </row>
    <row r="587" spans="1:16" ht="51.75" customHeight="1" x14ac:dyDescent="0.25">
      <c r="A587" s="255" t="s">
        <v>678</v>
      </c>
      <c r="B587" s="17">
        <v>951</v>
      </c>
      <c r="C587" s="6" t="s">
        <v>692</v>
      </c>
      <c r="D587" s="6" t="s">
        <v>668</v>
      </c>
      <c r="E587" s="6" t="s">
        <v>72</v>
      </c>
      <c r="F587" s="6" t="s">
        <v>679</v>
      </c>
      <c r="G587" s="13">
        <f>'5'!D123</f>
        <v>150</v>
      </c>
      <c r="H587" s="13">
        <f>'5'!E123</f>
        <v>250</v>
      </c>
      <c r="I587" s="13">
        <f>'5'!F123</f>
        <v>300</v>
      </c>
    </row>
    <row r="588" spans="1:16" ht="42.75" hidden="1" x14ac:dyDescent="0.25">
      <c r="A588" s="422" t="s">
        <v>334</v>
      </c>
      <c r="B588" s="17">
        <v>951</v>
      </c>
      <c r="C588" s="23" t="s">
        <v>692</v>
      </c>
      <c r="D588" s="23" t="s">
        <v>668</v>
      </c>
      <c r="E588" s="23" t="s">
        <v>71</v>
      </c>
      <c r="F588" s="23" t="s">
        <v>222</v>
      </c>
      <c r="G588" s="22">
        <f>G589+G594</f>
        <v>0</v>
      </c>
      <c r="H588" s="22">
        <f>H589+H594</f>
        <v>0</v>
      </c>
      <c r="I588" s="22">
        <f>I589+I594</f>
        <v>0</v>
      </c>
    </row>
    <row r="589" spans="1:16" ht="75" hidden="1" x14ac:dyDescent="0.25">
      <c r="A589" s="277" t="s">
        <v>965</v>
      </c>
      <c r="B589" s="17">
        <v>951</v>
      </c>
      <c r="C589" s="18" t="s">
        <v>692</v>
      </c>
      <c r="D589" s="18" t="s">
        <v>668</v>
      </c>
      <c r="E589" s="18" t="s">
        <v>335</v>
      </c>
      <c r="F589" s="18" t="s">
        <v>222</v>
      </c>
      <c r="G589" s="15">
        <f>G590+G592</f>
        <v>0</v>
      </c>
      <c r="H589" s="15">
        <f>H590+H592</f>
        <v>0</v>
      </c>
      <c r="I589" s="15">
        <f>I590+I592</f>
        <v>0</v>
      </c>
    </row>
    <row r="590" spans="1:16" ht="45" hidden="1" x14ac:dyDescent="0.25">
      <c r="A590" s="255" t="s">
        <v>729</v>
      </c>
      <c r="B590" s="17">
        <v>951</v>
      </c>
      <c r="C590" s="6" t="s">
        <v>692</v>
      </c>
      <c r="D590" s="6" t="s">
        <v>668</v>
      </c>
      <c r="E590" s="6" t="s">
        <v>335</v>
      </c>
      <c r="F590" s="6" t="s">
        <v>730</v>
      </c>
      <c r="G590" s="13">
        <f>G591</f>
        <v>0</v>
      </c>
      <c r="H590" s="13">
        <f>H591</f>
        <v>0</v>
      </c>
      <c r="I590" s="13">
        <f>I591</f>
        <v>0</v>
      </c>
    </row>
    <row r="591" spans="1:16" hidden="1" x14ac:dyDescent="0.25">
      <c r="A591" s="255" t="s">
        <v>731</v>
      </c>
      <c r="B591" s="17">
        <v>951</v>
      </c>
      <c r="C591" s="6" t="s">
        <v>692</v>
      </c>
      <c r="D591" s="6" t="s">
        <v>668</v>
      </c>
      <c r="E591" s="6" t="s">
        <v>335</v>
      </c>
      <c r="F591" s="6" t="s">
        <v>732</v>
      </c>
      <c r="G591" s="13"/>
      <c r="H591" s="13"/>
      <c r="I591" s="13"/>
    </row>
    <row r="592" spans="1:16" ht="45" hidden="1" x14ac:dyDescent="0.25">
      <c r="A592" s="255" t="s">
        <v>891</v>
      </c>
      <c r="B592" s="17">
        <v>952</v>
      </c>
      <c r="C592" s="6" t="s">
        <v>692</v>
      </c>
      <c r="D592" s="6" t="s">
        <v>668</v>
      </c>
      <c r="E592" s="6" t="s">
        <v>335</v>
      </c>
      <c r="F592" s="6" t="s">
        <v>714</v>
      </c>
      <c r="G592" s="13">
        <f>G593</f>
        <v>0</v>
      </c>
      <c r="H592" s="13">
        <f>H593</f>
        <v>0</v>
      </c>
      <c r="I592" s="13">
        <f>I593</f>
        <v>0</v>
      </c>
    </row>
    <row r="593" spans="1:9" ht="16.149999999999999" hidden="1" customHeight="1" x14ac:dyDescent="0.25">
      <c r="A593" s="255" t="s">
        <v>116</v>
      </c>
      <c r="B593" s="17">
        <v>953</v>
      </c>
      <c r="C593" s="6" t="s">
        <v>692</v>
      </c>
      <c r="D593" s="6" t="s">
        <v>668</v>
      </c>
      <c r="E593" s="6" t="s">
        <v>335</v>
      </c>
      <c r="F593" s="6" t="s">
        <v>165</v>
      </c>
      <c r="G593" s="13"/>
      <c r="H593" s="13"/>
      <c r="I593" s="13"/>
    </row>
    <row r="594" spans="1:9" ht="87" hidden="1" customHeight="1" x14ac:dyDescent="0.25">
      <c r="A594" s="277" t="s">
        <v>966</v>
      </c>
      <c r="B594" s="17">
        <v>951</v>
      </c>
      <c r="C594" s="18" t="s">
        <v>692</v>
      </c>
      <c r="D594" s="18" t="s">
        <v>668</v>
      </c>
      <c r="E594" s="18" t="s">
        <v>336</v>
      </c>
      <c r="F594" s="18" t="s">
        <v>222</v>
      </c>
      <c r="G594" s="15">
        <f>G595+G597</f>
        <v>0</v>
      </c>
      <c r="H594" s="15">
        <f>H595+H597</f>
        <v>0</v>
      </c>
      <c r="I594" s="15">
        <f>I595+I597</f>
        <v>0</v>
      </c>
    </row>
    <row r="595" spans="1:9" ht="45" hidden="1" x14ac:dyDescent="0.25">
      <c r="A595" s="255" t="s">
        <v>729</v>
      </c>
      <c r="B595" s="17">
        <v>951</v>
      </c>
      <c r="C595" s="6" t="s">
        <v>692</v>
      </c>
      <c r="D595" s="6" t="s">
        <v>668</v>
      </c>
      <c r="E595" s="6" t="s">
        <v>336</v>
      </c>
      <c r="F595" s="6" t="s">
        <v>730</v>
      </c>
      <c r="G595" s="13">
        <f>G596</f>
        <v>0</v>
      </c>
      <c r="H595" s="13">
        <f>H596</f>
        <v>0</v>
      </c>
      <c r="I595" s="13">
        <f>I596</f>
        <v>0</v>
      </c>
    </row>
    <row r="596" spans="1:9" hidden="1" x14ac:dyDescent="0.25">
      <c r="A596" s="255" t="s">
        <v>731</v>
      </c>
      <c r="B596" s="17">
        <v>951</v>
      </c>
      <c r="C596" s="6" t="s">
        <v>692</v>
      </c>
      <c r="D596" s="6" t="s">
        <v>668</v>
      </c>
      <c r="E596" s="6" t="s">
        <v>336</v>
      </c>
      <c r="F596" s="6" t="s">
        <v>732</v>
      </c>
      <c r="G596" s="13"/>
      <c r="H596" s="13"/>
      <c r="I596" s="13"/>
    </row>
    <row r="597" spans="1:9" ht="42" hidden="1" customHeight="1" x14ac:dyDescent="0.25">
      <c r="A597" s="255" t="s">
        <v>891</v>
      </c>
      <c r="B597" s="17">
        <v>952</v>
      </c>
      <c r="C597" s="6" t="s">
        <v>692</v>
      </c>
      <c r="D597" s="6" t="s">
        <v>668</v>
      </c>
      <c r="E597" s="6" t="s">
        <v>336</v>
      </c>
      <c r="F597" s="6" t="s">
        <v>714</v>
      </c>
      <c r="G597" s="13">
        <f>G598</f>
        <v>0</v>
      </c>
      <c r="H597" s="13">
        <f>H598</f>
        <v>0</v>
      </c>
      <c r="I597" s="13">
        <f>I598</f>
        <v>0</v>
      </c>
    </row>
    <row r="598" spans="1:9" ht="15.6" hidden="1" customHeight="1" x14ac:dyDescent="0.25">
      <c r="A598" s="255" t="s">
        <v>116</v>
      </c>
      <c r="B598" s="17">
        <v>953</v>
      </c>
      <c r="C598" s="6" t="s">
        <v>692</v>
      </c>
      <c r="D598" s="6" t="s">
        <v>668</v>
      </c>
      <c r="E598" s="6" t="s">
        <v>336</v>
      </c>
      <c r="F598" s="6" t="s">
        <v>165</v>
      </c>
      <c r="G598" s="13"/>
      <c r="H598" s="13"/>
      <c r="I598" s="13"/>
    </row>
    <row r="599" spans="1:9" ht="49.9" hidden="1" customHeight="1" x14ac:dyDescent="0.25">
      <c r="A599" s="263" t="s">
        <v>404</v>
      </c>
      <c r="B599" s="96" t="s">
        <v>117</v>
      </c>
      <c r="C599" s="158" t="s">
        <v>692</v>
      </c>
      <c r="D599" s="158" t="s">
        <v>668</v>
      </c>
      <c r="E599" s="158" t="s">
        <v>403</v>
      </c>
      <c r="F599" s="158" t="s">
        <v>222</v>
      </c>
      <c r="G599" s="95">
        <f>G600+G602</f>
        <v>0</v>
      </c>
      <c r="H599" s="95">
        <f>H600+H602</f>
        <v>0</v>
      </c>
      <c r="I599" s="95">
        <f>I600+I602</f>
        <v>0</v>
      </c>
    </row>
    <row r="600" spans="1:9" ht="29.45" hidden="1" customHeight="1" x14ac:dyDescent="0.25">
      <c r="A600" s="254" t="s">
        <v>676</v>
      </c>
      <c r="B600" s="3" t="s">
        <v>117</v>
      </c>
      <c r="C600" s="4" t="s">
        <v>692</v>
      </c>
      <c r="D600" s="4" t="s">
        <v>668</v>
      </c>
      <c r="E600" s="4" t="s">
        <v>403</v>
      </c>
      <c r="F600" s="4" t="s">
        <v>677</v>
      </c>
      <c r="G600" s="11">
        <f>G601</f>
        <v>0</v>
      </c>
      <c r="H600" s="11">
        <f>H601</f>
        <v>0</v>
      </c>
      <c r="I600" s="11">
        <f>I601</f>
        <v>0</v>
      </c>
    </row>
    <row r="601" spans="1:9" ht="45.6" hidden="1" customHeight="1" x14ac:dyDescent="0.25">
      <c r="A601" s="254" t="s">
        <v>678</v>
      </c>
      <c r="B601" s="3" t="s">
        <v>117</v>
      </c>
      <c r="C601" s="4" t="s">
        <v>692</v>
      </c>
      <c r="D601" s="4" t="s">
        <v>668</v>
      </c>
      <c r="E601" s="4" t="s">
        <v>403</v>
      </c>
      <c r="F601" s="4" t="s">
        <v>679</v>
      </c>
      <c r="G601" s="11">
        <f>500-500</f>
        <v>0</v>
      </c>
      <c r="H601" s="11">
        <v>0</v>
      </c>
      <c r="I601" s="11">
        <v>0</v>
      </c>
    </row>
    <row r="602" spans="1:9" ht="17.45" hidden="1" customHeight="1" x14ac:dyDescent="0.25">
      <c r="A602" s="254" t="s">
        <v>729</v>
      </c>
      <c r="B602" s="3" t="s">
        <v>117</v>
      </c>
      <c r="C602" s="4" t="s">
        <v>692</v>
      </c>
      <c r="D602" s="4" t="s">
        <v>668</v>
      </c>
      <c r="E602" s="4" t="s">
        <v>403</v>
      </c>
      <c r="F602" s="4" t="s">
        <v>730</v>
      </c>
      <c r="G602" s="11">
        <f>G603</f>
        <v>0</v>
      </c>
      <c r="H602" s="11">
        <f>H603</f>
        <v>0</v>
      </c>
      <c r="I602" s="11">
        <f>I603</f>
        <v>0</v>
      </c>
    </row>
    <row r="603" spans="1:9" ht="22.15" hidden="1" customHeight="1" x14ac:dyDescent="0.25">
      <c r="A603" s="254" t="s">
        <v>731</v>
      </c>
      <c r="B603" s="3" t="s">
        <v>117</v>
      </c>
      <c r="C603" s="4" t="s">
        <v>692</v>
      </c>
      <c r="D603" s="4" t="s">
        <v>668</v>
      </c>
      <c r="E603" s="4" t="s">
        <v>403</v>
      </c>
      <c r="F603" s="4" t="s">
        <v>732</v>
      </c>
      <c r="G603" s="11">
        <v>0</v>
      </c>
      <c r="H603" s="11">
        <v>0</v>
      </c>
      <c r="I603" s="11">
        <v>0</v>
      </c>
    </row>
    <row r="604" spans="1:9" ht="45" hidden="1" customHeight="1" x14ac:dyDescent="0.25">
      <c r="A604" s="422" t="s">
        <v>334</v>
      </c>
      <c r="B604" s="41">
        <v>951</v>
      </c>
      <c r="C604" s="23" t="s">
        <v>692</v>
      </c>
      <c r="D604" s="23" t="s">
        <v>668</v>
      </c>
      <c r="E604" s="23" t="s">
        <v>666</v>
      </c>
      <c r="F604" s="23" t="s">
        <v>222</v>
      </c>
      <c r="G604" s="22">
        <f>G605</f>
        <v>0</v>
      </c>
      <c r="H604" s="22">
        <f t="shared" ref="H604:I606" si="129">H605</f>
        <v>0</v>
      </c>
      <c r="I604" s="22">
        <f t="shared" si="129"/>
        <v>0</v>
      </c>
    </row>
    <row r="605" spans="1:9" ht="88.15" hidden="1" customHeight="1" x14ac:dyDescent="0.25">
      <c r="A605" s="255" t="s">
        <v>967</v>
      </c>
      <c r="B605" s="17">
        <v>951</v>
      </c>
      <c r="C605" s="6" t="s">
        <v>692</v>
      </c>
      <c r="D605" s="6" t="s">
        <v>668</v>
      </c>
      <c r="E605" s="6" t="s">
        <v>580</v>
      </c>
      <c r="F605" s="6" t="s">
        <v>222</v>
      </c>
      <c r="G605" s="13">
        <f>G606</f>
        <v>0</v>
      </c>
      <c r="H605" s="13">
        <f t="shared" si="129"/>
        <v>0</v>
      </c>
      <c r="I605" s="13">
        <f t="shared" si="129"/>
        <v>0</v>
      </c>
    </row>
    <row r="606" spans="1:9" ht="44.45" hidden="1" customHeight="1" x14ac:dyDescent="0.25">
      <c r="A606" s="255" t="s">
        <v>968</v>
      </c>
      <c r="B606" s="17" t="s">
        <v>117</v>
      </c>
      <c r="C606" s="6" t="s">
        <v>692</v>
      </c>
      <c r="D606" s="6" t="s">
        <v>668</v>
      </c>
      <c r="E606" s="6" t="s">
        <v>580</v>
      </c>
      <c r="F606" s="6" t="s">
        <v>730</v>
      </c>
      <c r="G606" s="13">
        <f>G607</f>
        <v>0</v>
      </c>
      <c r="H606" s="13">
        <f t="shared" si="129"/>
        <v>0</v>
      </c>
      <c r="I606" s="13">
        <f t="shared" si="129"/>
        <v>0</v>
      </c>
    </row>
    <row r="607" spans="1:9" ht="15" hidden="1" customHeight="1" x14ac:dyDescent="0.25">
      <c r="A607" s="255" t="s">
        <v>731</v>
      </c>
      <c r="B607" s="17">
        <v>951</v>
      </c>
      <c r="C607" s="6" t="s">
        <v>692</v>
      </c>
      <c r="D607" s="6" t="s">
        <v>668</v>
      </c>
      <c r="E607" s="6" t="s">
        <v>580</v>
      </c>
      <c r="F607" s="6" t="s">
        <v>732</v>
      </c>
      <c r="G607" s="13"/>
      <c r="H607" s="13">
        <v>0</v>
      </c>
      <c r="I607" s="13">
        <v>0</v>
      </c>
    </row>
    <row r="608" spans="1:9" ht="45" hidden="1" customHeight="1" x14ac:dyDescent="0.25">
      <c r="A608" s="422" t="s">
        <v>895</v>
      </c>
      <c r="B608" s="41">
        <v>951</v>
      </c>
      <c r="C608" s="23" t="s">
        <v>692</v>
      </c>
      <c r="D608" s="23" t="s">
        <v>668</v>
      </c>
      <c r="E608" s="23" t="s">
        <v>71</v>
      </c>
      <c r="F608" s="23" t="s">
        <v>222</v>
      </c>
      <c r="G608" s="22">
        <f>G612+G609</f>
        <v>0</v>
      </c>
      <c r="H608" s="22">
        <f>H612+H609</f>
        <v>0</v>
      </c>
      <c r="I608" s="22">
        <f>I612+I609</f>
        <v>0</v>
      </c>
    </row>
    <row r="609" spans="1:16" ht="86.45" hidden="1" customHeight="1" x14ac:dyDescent="0.25">
      <c r="A609" s="277" t="s">
        <v>969</v>
      </c>
      <c r="B609" s="42">
        <v>951</v>
      </c>
      <c r="C609" s="18" t="s">
        <v>692</v>
      </c>
      <c r="D609" s="18" t="s">
        <v>668</v>
      </c>
      <c r="E609" s="18" t="s">
        <v>480</v>
      </c>
      <c r="F609" s="18" t="s">
        <v>222</v>
      </c>
      <c r="G609" s="15">
        <f t="shared" ref="G609:I610" si="130">G610</f>
        <v>0</v>
      </c>
      <c r="H609" s="15">
        <f t="shared" si="130"/>
        <v>0</v>
      </c>
      <c r="I609" s="15">
        <f t="shared" si="130"/>
        <v>0</v>
      </c>
    </row>
    <row r="610" spans="1:16" ht="28.15" hidden="1" customHeight="1" x14ac:dyDescent="0.25">
      <c r="A610" s="255" t="s">
        <v>676</v>
      </c>
      <c r="B610" s="17">
        <v>951</v>
      </c>
      <c r="C610" s="6" t="s">
        <v>692</v>
      </c>
      <c r="D610" s="6" t="s">
        <v>668</v>
      </c>
      <c r="E610" s="6" t="s">
        <v>480</v>
      </c>
      <c r="F610" s="6" t="s">
        <v>677</v>
      </c>
      <c r="G610" s="13">
        <f t="shared" si="130"/>
        <v>0</v>
      </c>
      <c r="H610" s="13">
        <f t="shared" si="130"/>
        <v>0</v>
      </c>
      <c r="I610" s="13">
        <f t="shared" si="130"/>
        <v>0</v>
      </c>
    </row>
    <row r="611" spans="1:16" ht="44.45" hidden="1" customHeight="1" x14ac:dyDescent="0.25">
      <c r="A611" s="255" t="s">
        <v>678</v>
      </c>
      <c r="B611" s="17">
        <v>951</v>
      </c>
      <c r="C611" s="6" t="s">
        <v>692</v>
      </c>
      <c r="D611" s="6" t="s">
        <v>668</v>
      </c>
      <c r="E611" s="6" t="s">
        <v>480</v>
      </c>
      <c r="F611" s="6" t="s">
        <v>679</v>
      </c>
      <c r="G611" s="13"/>
      <c r="H611" s="13"/>
      <c r="I611" s="13"/>
    </row>
    <row r="612" spans="1:16" ht="59.45" hidden="1" customHeight="1" x14ac:dyDescent="0.25">
      <c r="A612" s="277" t="s">
        <v>970</v>
      </c>
      <c r="B612" s="42">
        <v>951</v>
      </c>
      <c r="C612" s="18" t="s">
        <v>692</v>
      </c>
      <c r="D612" s="18" t="s">
        <v>668</v>
      </c>
      <c r="E612" s="18" t="s">
        <v>514</v>
      </c>
      <c r="F612" s="18" t="s">
        <v>222</v>
      </c>
      <c r="G612" s="15">
        <f t="shared" ref="G612:I613" si="131">G613</f>
        <v>0</v>
      </c>
      <c r="H612" s="15">
        <f t="shared" si="131"/>
        <v>0</v>
      </c>
      <c r="I612" s="15">
        <f t="shared" si="131"/>
        <v>0</v>
      </c>
    </row>
    <row r="613" spans="1:16" ht="36.75" hidden="1" customHeight="1" x14ac:dyDescent="0.25">
      <c r="A613" s="255" t="s">
        <v>676</v>
      </c>
      <c r="B613" s="17">
        <v>951</v>
      </c>
      <c r="C613" s="6" t="s">
        <v>692</v>
      </c>
      <c r="D613" s="6" t="s">
        <v>668</v>
      </c>
      <c r="E613" s="6" t="s">
        <v>514</v>
      </c>
      <c r="F613" s="6" t="s">
        <v>677</v>
      </c>
      <c r="G613" s="13">
        <f t="shared" si="131"/>
        <v>0</v>
      </c>
      <c r="H613" s="13">
        <f t="shared" si="131"/>
        <v>0</v>
      </c>
      <c r="I613" s="13">
        <f t="shared" si="131"/>
        <v>0</v>
      </c>
    </row>
    <row r="614" spans="1:16" ht="43.9" hidden="1" customHeight="1" x14ac:dyDescent="0.25">
      <c r="A614" s="255" t="s">
        <v>678</v>
      </c>
      <c r="B614" s="17">
        <v>951</v>
      </c>
      <c r="C614" s="6" t="s">
        <v>692</v>
      </c>
      <c r="D614" s="6" t="s">
        <v>668</v>
      </c>
      <c r="E614" s="6" t="s">
        <v>514</v>
      </c>
      <c r="F614" s="6" t="s">
        <v>679</v>
      </c>
      <c r="G614" s="13"/>
      <c r="H614" s="13"/>
      <c r="I614" s="13"/>
    </row>
    <row r="615" spans="1:16" ht="63.75" customHeight="1" x14ac:dyDescent="0.25">
      <c r="A615" s="422" t="s">
        <v>509</v>
      </c>
      <c r="B615" s="41">
        <v>951</v>
      </c>
      <c r="C615" s="23" t="s">
        <v>692</v>
      </c>
      <c r="D615" s="23" t="s">
        <v>668</v>
      </c>
      <c r="E615" s="23" t="s">
        <v>71</v>
      </c>
      <c r="F615" s="23" t="s">
        <v>222</v>
      </c>
      <c r="G615" s="22">
        <f>G619+G616</f>
        <v>500</v>
      </c>
      <c r="H615" s="22">
        <f>H619+H616</f>
        <v>0</v>
      </c>
      <c r="I615" s="22">
        <f>I619+I616</f>
        <v>0</v>
      </c>
    </row>
    <row r="616" spans="1:16" ht="97.5" customHeight="1" x14ac:dyDescent="0.25">
      <c r="A616" s="255" t="s">
        <v>971</v>
      </c>
      <c r="B616" s="17">
        <v>951</v>
      </c>
      <c r="C616" s="6" t="s">
        <v>692</v>
      </c>
      <c r="D616" s="6" t="s">
        <v>668</v>
      </c>
      <c r="E616" s="6" t="s">
        <v>481</v>
      </c>
      <c r="F616" s="6" t="s">
        <v>222</v>
      </c>
      <c r="G616" s="13">
        <f t="shared" ref="G616:I617" si="132">G617</f>
        <v>495</v>
      </c>
      <c r="H616" s="13">
        <f t="shared" si="132"/>
        <v>0</v>
      </c>
      <c r="I616" s="13">
        <f t="shared" si="132"/>
        <v>0</v>
      </c>
    </row>
    <row r="617" spans="1:16" ht="36.75" customHeight="1" x14ac:dyDescent="0.25">
      <c r="A617" s="255" t="s">
        <v>676</v>
      </c>
      <c r="B617" s="17">
        <v>951</v>
      </c>
      <c r="C617" s="6" t="s">
        <v>692</v>
      </c>
      <c r="D617" s="6" t="s">
        <v>668</v>
      </c>
      <c r="E617" s="6" t="s">
        <v>481</v>
      </c>
      <c r="F617" s="6" t="s">
        <v>677</v>
      </c>
      <c r="G617" s="13">
        <f t="shared" si="132"/>
        <v>495</v>
      </c>
      <c r="H617" s="13">
        <f t="shared" si="132"/>
        <v>0</v>
      </c>
      <c r="I617" s="13">
        <f t="shared" si="132"/>
        <v>0</v>
      </c>
    </row>
    <row r="618" spans="1:16" ht="50.25" customHeight="1" x14ac:dyDescent="0.25">
      <c r="A618" s="255" t="s">
        <v>678</v>
      </c>
      <c r="B618" s="17">
        <v>951</v>
      </c>
      <c r="C618" s="6" t="s">
        <v>692</v>
      </c>
      <c r="D618" s="6" t="s">
        <v>668</v>
      </c>
      <c r="E618" s="6" t="s">
        <v>481</v>
      </c>
      <c r="F618" s="6" t="s">
        <v>679</v>
      </c>
      <c r="G618" s="13">
        <f>'5'!D139</f>
        <v>495</v>
      </c>
      <c r="H618" s="13">
        <f>'5'!E139</f>
        <v>0</v>
      </c>
      <c r="I618" s="13">
        <f>'5'!F139</f>
        <v>0</v>
      </c>
    </row>
    <row r="619" spans="1:16" ht="116.25" customHeight="1" x14ac:dyDescent="0.25">
      <c r="A619" s="255" t="s">
        <v>972</v>
      </c>
      <c r="B619" s="17">
        <v>951</v>
      </c>
      <c r="C619" s="6" t="s">
        <v>692</v>
      </c>
      <c r="D619" s="6" t="s">
        <v>668</v>
      </c>
      <c r="E619" s="6" t="s">
        <v>898</v>
      </c>
      <c r="F619" s="6" t="s">
        <v>222</v>
      </c>
      <c r="G619" s="13">
        <f t="shared" ref="G619:I620" si="133">G620</f>
        <v>5</v>
      </c>
      <c r="H619" s="13">
        <f t="shared" si="133"/>
        <v>0</v>
      </c>
      <c r="I619" s="13">
        <f t="shared" si="133"/>
        <v>0</v>
      </c>
    </row>
    <row r="620" spans="1:16" ht="33.6" customHeight="1" x14ac:dyDescent="0.25">
      <c r="A620" s="255" t="s">
        <v>676</v>
      </c>
      <c r="B620" s="17">
        <v>951</v>
      </c>
      <c r="C620" s="6" t="s">
        <v>692</v>
      </c>
      <c r="D620" s="6" t="s">
        <v>668</v>
      </c>
      <c r="E620" s="6" t="s">
        <v>898</v>
      </c>
      <c r="F620" s="6" t="s">
        <v>677</v>
      </c>
      <c r="G620" s="13">
        <f t="shared" si="133"/>
        <v>5</v>
      </c>
      <c r="H620" s="13">
        <f t="shared" si="133"/>
        <v>0</v>
      </c>
      <c r="I620" s="13">
        <f t="shared" si="133"/>
        <v>0</v>
      </c>
    </row>
    <row r="621" spans="1:16" ht="50.25" customHeight="1" x14ac:dyDescent="0.25">
      <c r="A621" s="255" t="s">
        <v>678</v>
      </c>
      <c r="B621" s="17">
        <v>951</v>
      </c>
      <c r="C621" s="6" t="s">
        <v>692</v>
      </c>
      <c r="D621" s="6" t="s">
        <v>668</v>
      </c>
      <c r="E621" s="6" t="s">
        <v>898</v>
      </c>
      <c r="F621" s="6" t="s">
        <v>679</v>
      </c>
      <c r="G621" s="11">
        <f>'5'!D140</f>
        <v>5</v>
      </c>
      <c r="H621" s="11">
        <f>'5'!E140</f>
        <v>0</v>
      </c>
      <c r="I621" s="11">
        <f>'5'!F140</f>
        <v>0</v>
      </c>
      <c r="L621" s="175"/>
      <c r="M621" s="175"/>
      <c r="N621" s="175"/>
      <c r="O621" s="175"/>
      <c r="P621" s="175"/>
    </row>
    <row r="622" spans="1:16" ht="32.450000000000003" hidden="1" customHeight="1" x14ac:dyDescent="0.25">
      <c r="A622" s="422" t="s">
        <v>515</v>
      </c>
      <c r="B622" s="41">
        <v>951</v>
      </c>
      <c r="C622" s="23" t="s">
        <v>692</v>
      </c>
      <c r="D622" s="23" t="s">
        <v>668</v>
      </c>
      <c r="E622" s="23" t="s">
        <v>666</v>
      </c>
      <c r="F622" s="23" t="s">
        <v>222</v>
      </c>
      <c r="G622" s="22">
        <f>G626+G623</f>
        <v>0</v>
      </c>
      <c r="H622" s="22">
        <f>H626+H623</f>
        <v>0</v>
      </c>
      <c r="I622" s="22">
        <f>I626+I623</f>
        <v>0</v>
      </c>
    </row>
    <row r="623" spans="1:16" ht="43.9" hidden="1" customHeight="1" x14ac:dyDescent="0.25">
      <c r="A623" s="277" t="s">
        <v>899</v>
      </c>
      <c r="B623" s="17">
        <v>951</v>
      </c>
      <c r="C623" s="6" t="s">
        <v>692</v>
      </c>
      <c r="D623" s="6" t="s">
        <v>668</v>
      </c>
      <c r="E623" s="6" t="s">
        <v>900</v>
      </c>
      <c r="F623" s="6" t="s">
        <v>222</v>
      </c>
      <c r="G623" s="13">
        <f t="shared" ref="G623:I624" si="134">G624</f>
        <v>0</v>
      </c>
      <c r="H623" s="13">
        <f t="shared" si="134"/>
        <v>0</v>
      </c>
      <c r="I623" s="13">
        <f t="shared" si="134"/>
        <v>0</v>
      </c>
    </row>
    <row r="624" spans="1:16" ht="36" hidden="1" customHeight="1" x14ac:dyDescent="0.25">
      <c r="A624" s="255" t="s">
        <v>676</v>
      </c>
      <c r="B624" s="17">
        <v>951</v>
      </c>
      <c r="C624" s="6" t="s">
        <v>692</v>
      </c>
      <c r="D624" s="6" t="s">
        <v>668</v>
      </c>
      <c r="E624" s="6" t="s">
        <v>900</v>
      </c>
      <c r="F624" s="6" t="s">
        <v>677</v>
      </c>
      <c r="G624" s="13">
        <f t="shared" si="134"/>
        <v>0</v>
      </c>
      <c r="H624" s="13">
        <f t="shared" si="134"/>
        <v>0</v>
      </c>
      <c r="I624" s="13">
        <f t="shared" si="134"/>
        <v>0</v>
      </c>
    </row>
    <row r="625" spans="1:16" ht="43.9" hidden="1" customHeight="1" x14ac:dyDescent="0.25">
      <c r="A625" s="255" t="s">
        <v>678</v>
      </c>
      <c r="B625" s="17">
        <v>951</v>
      </c>
      <c r="C625" s="6" t="s">
        <v>692</v>
      </c>
      <c r="D625" s="6" t="s">
        <v>668</v>
      </c>
      <c r="E625" s="6" t="s">
        <v>900</v>
      </c>
      <c r="F625" s="6" t="s">
        <v>679</v>
      </c>
      <c r="G625" s="13"/>
      <c r="H625" s="13"/>
      <c r="I625" s="13"/>
    </row>
    <row r="626" spans="1:16" ht="58.9" hidden="1" customHeight="1" x14ac:dyDescent="0.25">
      <c r="A626" s="255" t="s">
        <v>519</v>
      </c>
      <c r="B626" s="17">
        <v>951</v>
      </c>
      <c r="C626" s="6" t="s">
        <v>692</v>
      </c>
      <c r="D626" s="6" t="s">
        <v>668</v>
      </c>
      <c r="E626" s="6" t="s">
        <v>581</v>
      </c>
      <c r="F626" s="6" t="s">
        <v>222</v>
      </c>
      <c r="G626" s="13">
        <f t="shared" ref="G626:I627" si="135">G627</f>
        <v>0</v>
      </c>
      <c r="H626" s="13">
        <f t="shared" si="135"/>
        <v>0</v>
      </c>
      <c r="I626" s="13">
        <f t="shared" si="135"/>
        <v>0</v>
      </c>
    </row>
    <row r="627" spans="1:16" ht="32.450000000000003" hidden="1" customHeight="1" x14ac:dyDescent="0.25">
      <c r="A627" s="255" t="s">
        <v>676</v>
      </c>
      <c r="B627" s="17">
        <v>951</v>
      </c>
      <c r="C627" s="6" t="s">
        <v>692</v>
      </c>
      <c r="D627" s="6" t="s">
        <v>668</v>
      </c>
      <c r="E627" s="6" t="s">
        <v>581</v>
      </c>
      <c r="F627" s="6" t="s">
        <v>677</v>
      </c>
      <c r="G627" s="13">
        <f t="shared" si="135"/>
        <v>0</v>
      </c>
      <c r="H627" s="13">
        <f t="shared" si="135"/>
        <v>0</v>
      </c>
      <c r="I627" s="13">
        <f t="shared" si="135"/>
        <v>0</v>
      </c>
    </row>
    <row r="628" spans="1:16" ht="43.9" hidden="1" customHeight="1" x14ac:dyDescent="0.25">
      <c r="A628" s="255" t="s">
        <v>678</v>
      </c>
      <c r="B628" s="17">
        <v>951</v>
      </c>
      <c r="C628" s="6" t="s">
        <v>692</v>
      </c>
      <c r="D628" s="6" t="s">
        <v>668</v>
      </c>
      <c r="E628" s="6" t="s">
        <v>581</v>
      </c>
      <c r="F628" s="6" t="s">
        <v>679</v>
      </c>
      <c r="G628" s="11">
        <v>0</v>
      </c>
      <c r="H628" s="11">
        <v>0</v>
      </c>
      <c r="I628" s="11">
        <v>0</v>
      </c>
    </row>
    <row r="629" spans="1:16" ht="45.75" customHeight="1" x14ac:dyDescent="0.25">
      <c r="A629" s="303" t="s">
        <v>908</v>
      </c>
      <c r="B629" s="185">
        <v>951</v>
      </c>
      <c r="C629" s="184" t="s">
        <v>703</v>
      </c>
      <c r="D629" s="184" t="s">
        <v>109</v>
      </c>
      <c r="E629" s="184" t="s">
        <v>666</v>
      </c>
      <c r="F629" s="184" t="s">
        <v>222</v>
      </c>
      <c r="G629" s="178">
        <f>G630+G635</f>
        <v>10</v>
      </c>
      <c r="H629" s="178">
        <f>H630+H635</f>
        <v>110</v>
      </c>
      <c r="I629" s="178">
        <f>I630+I635</f>
        <v>110</v>
      </c>
    </row>
    <row r="630" spans="1:16" ht="81" customHeight="1" x14ac:dyDescent="0.25">
      <c r="A630" s="277" t="s">
        <v>485</v>
      </c>
      <c r="B630" s="17">
        <v>951</v>
      </c>
      <c r="C630" s="6" t="s">
        <v>703</v>
      </c>
      <c r="D630" s="6" t="s">
        <v>108</v>
      </c>
      <c r="E630" s="6" t="s">
        <v>666</v>
      </c>
      <c r="F630" s="6" t="s">
        <v>222</v>
      </c>
      <c r="G630" s="13">
        <f>G631</f>
        <v>10</v>
      </c>
      <c r="H630" s="13">
        <f t="shared" ref="H630:I638" si="136">H631</f>
        <v>0</v>
      </c>
      <c r="I630" s="13">
        <f t="shared" si="136"/>
        <v>0</v>
      </c>
    </row>
    <row r="631" spans="1:16" ht="33.75" customHeight="1" x14ac:dyDescent="0.25">
      <c r="A631" s="255" t="s">
        <v>910</v>
      </c>
      <c r="B631" s="17">
        <v>951</v>
      </c>
      <c r="C631" s="6" t="s">
        <v>703</v>
      </c>
      <c r="D631" s="6" t="s">
        <v>108</v>
      </c>
      <c r="E631" s="6" t="s">
        <v>282</v>
      </c>
      <c r="F631" s="6" t="s">
        <v>222</v>
      </c>
      <c r="G631" s="11">
        <f>G632</f>
        <v>10</v>
      </c>
      <c r="H631" s="13">
        <f t="shared" si="136"/>
        <v>0</v>
      </c>
      <c r="I631" s="13">
        <f t="shared" si="136"/>
        <v>0</v>
      </c>
    </row>
    <row r="632" spans="1:16" ht="33.75" customHeight="1" x14ac:dyDescent="0.25">
      <c r="A632" s="255" t="s">
        <v>973</v>
      </c>
      <c r="B632" s="17">
        <v>951</v>
      </c>
      <c r="C632" s="6" t="s">
        <v>703</v>
      </c>
      <c r="D632" s="6" t="s">
        <v>108</v>
      </c>
      <c r="E632" s="6" t="s">
        <v>282</v>
      </c>
      <c r="F632" s="6" t="s">
        <v>222</v>
      </c>
      <c r="G632" s="11">
        <f>G633</f>
        <v>10</v>
      </c>
      <c r="H632" s="13">
        <f t="shared" si="136"/>
        <v>0</v>
      </c>
      <c r="I632" s="13">
        <f t="shared" si="136"/>
        <v>0</v>
      </c>
    </row>
    <row r="633" spans="1:16" ht="31.15" customHeight="1" x14ac:dyDescent="0.25">
      <c r="A633" s="255" t="s">
        <v>123</v>
      </c>
      <c r="B633" s="17">
        <v>951</v>
      </c>
      <c r="C633" s="6" t="s">
        <v>703</v>
      </c>
      <c r="D633" s="6" t="s">
        <v>108</v>
      </c>
      <c r="E633" s="6" t="s">
        <v>282</v>
      </c>
      <c r="F633" s="6" t="s">
        <v>912</v>
      </c>
      <c r="G633" s="11">
        <f>G634</f>
        <v>10</v>
      </c>
      <c r="H633" s="13">
        <f t="shared" si="136"/>
        <v>0</v>
      </c>
      <c r="I633" s="13">
        <f t="shared" si="136"/>
        <v>0</v>
      </c>
    </row>
    <row r="634" spans="1:16" ht="19.149999999999999" customHeight="1" x14ac:dyDescent="0.25">
      <c r="A634" s="255" t="s">
        <v>130</v>
      </c>
      <c r="B634" s="17">
        <v>951</v>
      </c>
      <c r="C634" s="6" t="s">
        <v>703</v>
      </c>
      <c r="D634" s="6" t="s">
        <v>108</v>
      </c>
      <c r="E634" s="6" t="s">
        <v>282</v>
      </c>
      <c r="F634" s="6" t="s">
        <v>913</v>
      </c>
      <c r="G634" s="11">
        <f>110-100</f>
        <v>10</v>
      </c>
      <c r="H634" s="13">
        <v>0</v>
      </c>
      <c r="I634" s="13">
        <v>0</v>
      </c>
    </row>
    <row r="635" spans="1:16" s="175" customFormat="1" ht="33.75" customHeight="1" x14ac:dyDescent="0.25">
      <c r="A635" s="277" t="s">
        <v>669</v>
      </c>
      <c r="B635" s="42">
        <v>951</v>
      </c>
      <c r="C635" s="18" t="s">
        <v>703</v>
      </c>
      <c r="D635" s="18" t="s">
        <v>108</v>
      </c>
      <c r="E635" s="18" t="s">
        <v>564</v>
      </c>
      <c r="F635" s="18" t="s">
        <v>222</v>
      </c>
      <c r="G635" s="95">
        <f>G636</f>
        <v>0</v>
      </c>
      <c r="H635" s="15">
        <f t="shared" si="136"/>
        <v>110</v>
      </c>
      <c r="I635" s="15">
        <f t="shared" si="136"/>
        <v>110</v>
      </c>
      <c r="L635" s="7"/>
      <c r="M635" s="7"/>
      <c r="N635" s="7"/>
      <c r="O635" s="7"/>
      <c r="P635" s="7"/>
    </row>
    <row r="636" spans="1:16" ht="33" customHeight="1" x14ac:dyDescent="0.25">
      <c r="A636" s="255" t="s">
        <v>910</v>
      </c>
      <c r="B636" s="17">
        <v>951</v>
      </c>
      <c r="C636" s="6" t="s">
        <v>703</v>
      </c>
      <c r="D636" s="6" t="s">
        <v>108</v>
      </c>
      <c r="E636" s="6" t="s">
        <v>564</v>
      </c>
      <c r="F636" s="6" t="s">
        <v>222</v>
      </c>
      <c r="G636" s="11">
        <f>G637</f>
        <v>0</v>
      </c>
      <c r="H636" s="13">
        <f t="shared" si="136"/>
        <v>110</v>
      </c>
      <c r="I636" s="13">
        <f t="shared" si="136"/>
        <v>110</v>
      </c>
    </row>
    <row r="637" spans="1:16" ht="32.25" customHeight="1" x14ac:dyDescent="0.25">
      <c r="A637" s="255" t="s">
        <v>973</v>
      </c>
      <c r="B637" s="17">
        <v>951</v>
      </c>
      <c r="C637" s="6" t="s">
        <v>703</v>
      </c>
      <c r="D637" s="6" t="s">
        <v>108</v>
      </c>
      <c r="E637" s="6" t="s">
        <v>564</v>
      </c>
      <c r="F637" s="6" t="s">
        <v>912</v>
      </c>
      <c r="G637" s="11">
        <f>G638</f>
        <v>0</v>
      </c>
      <c r="H637" s="13">
        <f t="shared" si="136"/>
        <v>110</v>
      </c>
      <c r="I637" s="13">
        <f t="shared" si="136"/>
        <v>110</v>
      </c>
    </row>
    <row r="638" spans="1:16" ht="36" customHeight="1" x14ac:dyDescent="0.25">
      <c r="A638" s="255" t="s">
        <v>123</v>
      </c>
      <c r="B638" s="17">
        <v>951</v>
      </c>
      <c r="C638" s="6" t="s">
        <v>703</v>
      </c>
      <c r="D638" s="6" t="s">
        <v>108</v>
      </c>
      <c r="E638" s="6" t="s">
        <v>564</v>
      </c>
      <c r="F638" s="6" t="s">
        <v>912</v>
      </c>
      <c r="G638" s="13">
        <f>G639</f>
        <v>0</v>
      </c>
      <c r="H638" s="13">
        <f t="shared" si="136"/>
        <v>110</v>
      </c>
      <c r="I638" s="13">
        <f t="shared" si="136"/>
        <v>110</v>
      </c>
    </row>
    <row r="639" spans="1:16" ht="19.149999999999999" customHeight="1" x14ac:dyDescent="0.25">
      <c r="A639" s="255" t="s">
        <v>130</v>
      </c>
      <c r="B639" s="17">
        <v>952</v>
      </c>
      <c r="C639" s="6" t="s">
        <v>703</v>
      </c>
      <c r="D639" s="6" t="s">
        <v>108</v>
      </c>
      <c r="E639" s="6" t="s">
        <v>564</v>
      </c>
      <c r="F639" s="6" t="s">
        <v>913</v>
      </c>
      <c r="G639" s="13">
        <v>0</v>
      </c>
      <c r="H639" s="13">
        <v>110</v>
      </c>
      <c r="I639" s="13">
        <v>110</v>
      </c>
    </row>
    <row r="640" spans="1:16" ht="19.149999999999999" hidden="1" customHeight="1" x14ac:dyDescent="0.25">
      <c r="A640" s="255"/>
      <c r="B640" s="17"/>
      <c r="C640" s="6"/>
      <c r="D640" s="6"/>
      <c r="E640" s="6"/>
      <c r="F640" s="6"/>
      <c r="G640" s="13"/>
      <c r="H640" s="13"/>
      <c r="I640" s="13"/>
    </row>
    <row r="641" spans="1:9" ht="30.6" customHeight="1" x14ac:dyDescent="0.25">
      <c r="A641" s="325" t="s">
        <v>974</v>
      </c>
      <c r="B641" s="326" t="s">
        <v>223</v>
      </c>
      <c r="C641" s="326" t="s">
        <v>109</v>
      </c>
      <c r="D641" s="326" t="s">
        <v>109</v>
      </c>
      <c r="E641" s="326" t="s">
        <v>666</v>
      </c>
      <c r="F641" s="326" t="s">
        <v>222</v>
      </c>
      <c r="G641" s="177">
        <f>G642+G657</f>
        <v>6827.4689999999991</v>
      </c>
      <c r="H641" s="177">
        <f t="shared" ref="H641:I641" si="137">H642+H657</f>
        <v>6972.4689999999991</v>
      </c>
      <c r="I641" s="177">
        <f t="shared" si="137"/>
        <v>6972.4689999999991</v>
      </c>
    </row>
    <row r="642" spans="1:9" ht="60" x14ac:dyDescent="0.25">
      <c r="A642" s="255" t="s">
        <v>674</v>
      </c>
      <c r="B642" s="17" t="s">
        <v>223</v>
      </c>
      <c r="C642" s="6" t="s">
        <v>108</v>
      </c>
      <c r="D642" s="6" t="s">
        <v>111</v>
      </c>
      <c r="E642" s="6" t="s">
        <v>666</v>
      </c>
      <c r="F642" s="6" t="s">
        <v>222</v>
      </c>
      <c r="G642" s="13">
        <f>G643</f>
        <v>6809.4689999999991</v>
      </c>
      <c r="H642" s="13">
        <f>H643</f>
        <v>6959.4689999999991</v>
      </c>
      <c r="I642" s="13">
        <f t="shared" ref="I642" si="138">I643</f>
        <v>6959.4689999999991</v>
      </c>
    </row>
    <row r="643" spans="1:9" ht="30" x14ac:dyDescent="0.25">
      <c r="A643" s="255" t="s">
        <v>669</v>
      </c>
      <c r="B643" s="17" t="s">
        <v>223</v>
      </c>
      <c r="C643" s="6" t="s">
        <v>108</v>
      </c>
      <c r="D643" s="6" t="s">
        <v>111</v>
      </c>
      <c r="E643" s="6" t="s">
        <v>5</v>
      </c>
      <c r="F643" s="6" t="s">
        <v>222</v>
      </c>
      <c r="G643" s="13">
        <f>G644</f>
        <v>6809.4689999999991</v>
      </c>
      <c r="H643" s="13">
        <f>H644</f>
        <v>6959.4689999999991</v>
      </c>
      <c r="I643" s="13">
        <f t="shared" ref="I643" si="139">I644</f>
        <v>6959.4689999999991</v>
      </c>
    </row>
    <row r="644" spans="1:9" ht="45" x14ac:dyDescent="0.25">
      <c r="A644" s="255" t="s">
        <v>110</v>
      </c>
      <c r="B644" s="17" t="s">
        <v>223</v>
      </c>
      <c r="C644" s="6" t="s">
        <v>108</v>
      </c>
      <c r="D644" s="6" t="s">
        <v>111</v>
      </c>
      <c r="E644" s="6" t="s">
        <v>6</v>
      </c>
      <c r="F644" s="6" t="s">
        <v>222</v>
      </c>
      <c r="G644" s="13">
        <f>G650+G645</f>
        <v>6809.4689999999991</v>
      </c>
      <c r="H644" s="13">
        <f>H650+H645</f>
        <v>6959.4689999999991</v>
      </c>
      <c r="I644" s="13">
        <f t="shared" ref="I644" si="140">I650+I645</f>
        <v>6959.4689999999991</v>
      </c>
    </row>
    <row r="645" spans="1:9" ht="32.25" customHeight="1" x14ac:dyDescent="0.25">
      <c r="A645" s="255" t="s">
        <v>675</v>
      </c>
      <c r="B645" s="17" t="s">
        <v>223</v>
      </c>
      <c r="C645" s="6" t="s">
        <v>108</v>
      </c>
      <c r="D645" s="6" t="s">
        <v>111</v>
      </c>
      <c r="E645" s="6" t="s">
        <v>8</v>
      </c>
      <c r="F645" s="6" t="s">
        <v>222</v>
      </c>
      <c r="G645" s="13">
        <f>G646+G648</f>
        <v>3058.43</v>
      </c>
      <c r="H645" s="13">
        <f>H646+H648</f>
        <v>3044.43</v>
      </c>
      <c r="I645" s="13">
        <f>I646+I648</f>
        <v>3044.43</v>
      </c>
    </row>
    <row r="646" spans="1:9" ht="98.25" customHeight="1" x14ac:dyDescent="0.25">
      <c r="A646" s="255" t="s">
        <v>670</v>
      </c>
      <c r="B646" s="17" t="s">
        <v>223</v>
      </c>
      <c r="C646" s="6" t="s">
        <v>108</v>
      </c>
      <c r="D646" s="6" t="s">
        <v>111</v>
      </c>
      <c r="E646" s="6" t="s">
        <v>8</v>
      </c>
      <c r="F646" s="6" t="s">
        <v>671</v>
      </c>
      <c r="G646" s="13">
        <f>G647</f>
        <v>3058.43</v>
      </c>
      <c r="H646" s="13">
        <f>H647</f>
        <v>3029.43</v>
      </c>
      <c r="I646" s="13">
        <f>I647</f>
        <v>3029.43</v>
      </c>
    </row>
    <row r="647" spans="1:9" ht="35.25" customHeight="1" x14ac:dyDescent="0.25">
      <c r="A647" s="255" t="s">
        <v>672</v>
      </c>
      <c r="B647" s="17" t="s">
        <v>223</v>
      </c>
      <c r="C647" s="6" t="s">
        <v>108</v>
      </c>
      <c r="D647" s="6" t="s">
        <v>111</v>
      </c>
      <c r="E647" s="6" t="s">
        <v>8</v>
      </c>
      <c r="F647" s="6" t="s">
        <v>673</v>
      </c>
      <c r="G647" s="13">
        <f>'3'!F25</f>
        <v>3058.43</v>
      </c>
      <c r="H647" s="13">
        <f>'3'!G25</f>
        <v>3029.43</v>
      </c>
      <c r="I647" s="13">
        <f>'3'!H25</f>
        <v>3029.43</v>
      </c>
    </row>
    <row r="648" spans="1:9" ht="33.6" customHeight="1" x14ac:dyDescent="0.25">
      <c r="A648" s="255" t="s">
        <v>676</v>
      </c>
      <c r="B648" s="17" t="s">
        <v>223</v>
      </c>
      <c r="C648" s="6" t="s">
        <v>108</v>
      </c>
      <c r="D648" s="6" t="s">
        <v>111</v>
      </c>
      <c r="E648" s="6" t="s">
        <v>8</v>
      </c>
      <c r="F648" s="6" t="s">
        <v>677</v>
      </c>
      <c r="G648" s="13">
        <f>G649</f>
        <v>0</v>
      </c>
      <c r="H648" s="13">
        <f>H649</f>
        <v>15</v>
      </c>
      <c r="I648" s="13">
        <f>I649</f>
        <v>15</v>
      </c>
    </row>
    <row r="649" spans="1:9" ht="48" customHeight="1" x14ac:dyDescent="0.25">
      <c r="A649" s="255" t="s">
        <v>678</v>
      </c>
      <c r="B649" s="17" t="s">
        <v>223</v>
      </c>
      <c r="C649" s="6" t="s">
        <v>108</v>
      </c>
      <c r="D649" s="6" t="s">
        <v>111</v>
      </c>
      <c r="E649" s="6" t="s">
        <v>8</v>
      </c>
      <c r="F649" s="6" t="s">
        <v>679</v>
      </c>
      <c r="G649" s="13">
        <f>15-15</f>
        <v>0</v>
      </c>
      <c r="H649" s="13">
        <v>15</v>
      </c>
      <c r="I649" s="13">
        <v>15</v>
      </c>
    </row>
    <row r="650" spans="1:9" ht="48" customHeight="1" x14ac:dyDescent="0.25">
      <c r="A650" s="255" t="s">
        <v>112</v>
      </c>
      <c r="B650" s="17" t="s">
        <v>223</v>
      </c>
      <c r="C650" s="6" t="s">
        <v>108</v>
      </c>
      <c r="D650" s="6" t="s">
        <v>111</v>
      </c>
      <c r="E650" s="6" t="s">
        <v>9</v>
      </c>
      <c r="F650" s="6" t="s">
        <v>222</v>
      </c>
      <c r="G650" s="13">
        <f>G651+G653+G655</f>
        <v>3751.0389999999998</v>
      </c>
      <c r="H650" s="13">
        <f>H651+H653+H655</f>
        <v>3915.0389999999998</v>
      </c>
      <c r="I650" s="13">
        <f>I651+I653+I655</f>
        <v>3915.0389999999998</v>
      </c>
    </row>
    <row r="651" spans="1:9" ht="95.25" customHeight="1" x14ac:dyDescent="0.25">
      <c r="A651" s="255" t="s">
        <v>670</v>
      </c>
      <c r="B651" s="17" t="s">
        <v>223</v>
      </c>
      <c r="C651" s="6" t="s">
        <v>108</v>
      </c>
      <c r="D651" s="6" t="s">
        <v>111</v>
      </c>
      <c r="E651" s="6" t="s">
        <v>9</v>
      </c>
      <c r="F651" s="6" t="s">
        <v>671</v>
      </c>
      <c r="G651" s="11">
        <f>G652</f>
        <v>2003</v>
      </c>
      <c r="H651" s="13">
        <f>H652</f>
        <v>3293</v>
      </c>
      <c r="I651" s="13">
        <f>I652</f>
        <v>3293</v>
      </c>
    </row>
    <row r="652" spans="1:9" ht="35.25" customHeight="1" x14ac:dyDescent="0.25">
      <c r="A652" s="255" t="s">
        <v>672</v>
      </c>
      <c r="B652" s="17" t="s">
        <v>223</v>
      </c>
      <c r="C652" s="6" t="s">
        <v>108</v>
      </c>
      <c r="D652" s="6" t="s">
        <v>111</v>
      </c>
      <c r="E652" s="6" t="s">
        <v>9</v>
      </c>
      <c r="F652" s="6" t="s">
        <v>673</v>
      </c>
      <c r="G652" s="11">
        <f>'3'!F30</f>
        <v>2003</v>
      </c>
      <c r="H652" s="11">
        <f>'3'!G30</f>
        <v>3293</v>
      </c>
      <c r="I652" s="11">
        <f>'3'!H30</f>
        <v>3293</v>
      </c>
    </row>
    <row r="653" spans="1:9" ht="33" customHeight="1" x14ac:dyDescent="0.25">
      <c r="A653" s="255" t="s">
        <v>676</v>
      </c>
      <c r="B653" s="17" t="s">
        <v>223</v>
      </c>
      <c r="C653" s="6" t="s">
        <v>108</v>
      </c>
      <c r="D653" s="6" t="s">
        <v>111</v>
      </c>
      <c r="E653" s="6" t="s">
        <v>9</v>
      </c>
      <c r="F653" s="6" t="s">
        <v>677</v>
      </c>
      <c r="G653" s="11">
        <f>G654</f>
        <v>1742.039</v>
      </c>
      <c r="H653" s="13">
        <f>H654</f>
        <v>617.03899999999999</v>
      </c>
      <c r="I653" s="13">
        <f>I654</f>
        <v>617.03899999999999</v>
      </c>
    </row>
    <row r="654" spans="1:9" ht="51" customHeight="1" x14ac:dyDescent="0.25">
      <c r="A654" s="255" t="s">
        <v>678</v>
      </c>
      <c r="B654" s="17" t="s">
        <v>223</v>
      </c>
      <c r="C654" s="6" t="s">
        <v>108</v>
      </c>
      <c r="D654" s="6" t="s">
        <v>111</v>
      </c>
      <c r="E654" s="6" t="s">
        <v>9</v>
      </c>
      <c r="F654" s="6" t="s">
        <v>679</v>
      </c>
      <c r="G654" s="11">
        <f>'3'!F32</f>
        <v>1742.039</v>
      </c>
      <c r="H654" s="11">
        <f>'3'!G32</f>
        <v>617.03899999999999</v>
      </c>
      <c r="I654" s="11">
        <f>'3'!H32</f>
        <v>617.03899999999999</v>
      </c>
    </row>
    <row r="655" spans="1:9" ht="20.25" customHeight="1" x14ac:dyDescent="0.25">
      <c r="A655" s="255" t="s">
        <v>680</v>
      </c>
      <c r="B655" s="17" t="s">
        <v>223</v>
      </c>
      <c r="C655" s="6" t="s">
        <v>108</v>
      </c>
      <c r="D655" s="6" t="s">
        <v>111</v>
      </c>
      <c r="E655" s="6" t="s">
        <v>9</v>
      </c>
      <c r="F655" s="6" t="s">
        <v>681</v>
      </c>
      <c r="G655" s="11">
        <f>G656</f>
        <v>6</v>
      </c>
      <c r="H655" s="13">
        <f>H656</f>
        <v>5</v>
      </c>
      <c r="I655" s="13">
        <f>I656</f>
        <v>5</v>
      </c>
    </row>
    <row r="656" spans="1:9" ht="20.25" customHeight="1" x14ac:dyDescent="0.25">
      <c r="A656" s="255" t="s">
        <v>682</v>
      </c>
      <c r="B656" s="17" t="s">
        <v>223</v>
      </c>
      <c r="C656" s="6" t="s">
        <v>108</v>
      </c>
      <c r="D656" s="6" t="s">
        <v>111</v>
      </c>
      <c r="E656" s="6" t="s">
        <v>9</v>
      </c>
      <c r="F656" s="6" t="s">
        <v>683</v>
      </c>
      <c r="G656" s="11">
        <f>'3'!F34</f>
        <v>6</v>
      </c>
      <c r="H656" s="13">
        <v>5</v>
      </c>
      <c r="I656" s="13">
        <v>5</v>
      </c>
    </row>
    <row r="657" spans="1:10" ht="51" customHeight="1" x14ac:dyDescent="0.25">
      <c r="A657" s="263" t="s">
        <v>1020</v>
      </c>
      <c r="B657" s="96" t="s">
        <v>223</v>
      </c>
      <c r="C657" s="158" t="s">
        <v>211</v>
      </c>
      <c r="D657" s="158" t="s">
        <v>685</v>
      </c>
      <c r="E657" s="158" t="s">
        <v>1017</v>
      </c>
      <c r="F657" s="158" t="s">
        <v>222</v>
      </c>
      <c r="G657" s="11">
        <f>G658</f>
        <v>18</v>
      </c>
      <c r="H657" s="13">
        <f>H658</f>
        <v>13</v>
      </c>
      <c r="I657" s="13">
        <f t="shared" ref="H657:I658" si="141">I658</f>
        <v>13</v>
      </c>
    </row>
    <row r="658" spans="1:10" ht="30" x14ac:dyDescent="0.25">
      <c r="A658" s="255" t="s">
        <v>676</v>
      </c>
      <c r="B658" s="17" t="s">
        <v>223</v>
      </c>
      <c r="C658" s="6" t="s">
        <v>211</v>
      </c>
      <c r="D658" s="6" t="s">
        <v>685</v>
      </c>
      <c r="E658" s="6" t="s">
        <v>1017</v>
      </c>
      <c r="F658" s="6" t="s">
        <v>677</v>
      </c>
      <c r="G658" s="13">
        <f>G659</f>
        <v>18</v>
      </c>
      <c r="H658" s="13">
        <f t="shared" si="141"/>
        <v>13</v>
      </c>
      <c r="I658" s="13">
        <f t="shared" si="141"/>
        <v>13</v>
      </c>
    </row>
    <row r="659" spans="1:10" ht="45" x14ac:dyDescent="0.25">
      <c r="A659" s="255" t="s">
        <v>678</v>
      </c>
      <c r="B659" s="17" t="s">
        <v>223</v>
      </c>
      <c r="C659" s="6" t="s">
        <v>211</v>
      </c>
      <c r="D659" s="6" t="s">
        <v>685</v>
      </c>
      <c r="E659" s="6" t="s">
        <v>1017</v>
      </c>
      <c r="F659" s="6" t="s">
        <v>679</v>
      </c>
      <c r="G659" s="13">
        <f>5+13</f>
        <v>18</v>
      </c>
      <c r="H659" s="13">
        <v>13</v>
      </c>
      <c r="I659" s="13">
        <v>13</v>
      </c>
    </row>
    <row r="660" spans="1:10" ht="45" customHeight="1" x14ac:dyDescent="0.25">
      <c r="A660" s="325" t="s">
        <v>975</v>
      </c>
      <c r="B660" s="326" t="s">
        <v>226</v>
      </c>
      <c r="C660" s="326" t="s">
        <v>109</v>
      </c>
      <c r="D660" s="326" t="s">
        <v>109</v>
      </c>
      <c r="E660" s="326" t="s">
        <v>666</v>
      </c>
      <c r="F660" s="326" t="s">
        <v>222</v>
      </c>
      <c r="G660" s="328">
        <f>G661+G672+G675+G681+G692+G687+G689</f>
        <v>33101.890249999997</v>
      </c>
      <c r="H660" s="328">
        <f t="shared" ref="H660:J660" si="142">H661+H672+H675+H681+H692+H687+H689</f>
        <v>22456.241999999998</v>
      </c>
      <c r="I660" s="328">
        <f t="shared" si="142"/>
        <v>22406.241999999998</v>
      </c>
      <c r="J660" s="328">
        <f t="shared" si="142"/>
        <v>0</v>
      </c>
    </row>
    <row r="661" spans="1:10" ht="64.5" customHeight="1" x14ac:dyDescent="0.25">
      <c r="A661" s="255" t="s">
        <v>686</v>
      </c>
      <c r="B661" s="17" t="s">
        <v>226</v>
      </c>
      <c r="C661" s="6" t="s">
        <v>108</v>
      </c>
      <c r="D661" s="6" t="s">
        <v>687</v>
      </c>
      <c r="E661" s="6" t="s">
        <v>666</v>
      </c>
      <c r="F661" s="6" t="s">
        <v>222</v>
      </c>
      <c r="G661" s="11">
        <f t="shared" ref="G661:I662" si="143">G662</f>
        <v>10210.570100000001</v>
      </c>
      <c r="H661" s="13">
        <f t="shared" si="143"/>
        <v>10645.2</v>
      </c>
      <c r="I661" s="13">
        <f t="shared" si="143"/>
        <v>10645.2</v>
      </c>
    </row>
    <row r="662" spans="1:10" ht="45" customHeight="1" x14ac:dyDescent="0.25">
      <c r="A662" s="255" t="s">
        <v>110</v>
      </c>
      <c r="B662" s="17" t="s">
        <v>226</v>
      </c>
      <c r="C662" s="6" t="s">
        <v>108</v>
      </c>
      <c r="D662" s="6" t="s">
        <v>687</v>
      </c>
      <c r="E662" s="6" t="s">
        <v>5</v>
      </c>
      <c r="F662" s="6" t="s">
        <v>222</v>
      </c>
      <c r="G662" s="11">
        <f t="shared" si="143"/>
        <v>10210.570100000001</v>
      </c>
      <c r="H662" s="13">
        <f t="shared" si="143"/>
        <v>10645.2</v>
      </c>
      <c r="I662" s="13">
        <f t="shared" si="143"/>
        <v>10645.2</v>
      </c>
    </row>
    <row r="663" spans="1:10" ht="50.25" customHeight="1" x14ac:dyDescent="0.25">
      <c r="A663" s="255" t="s">
        <v>688</v>
      </c>
      <c r="B663" s="17" t="s">
        <v>226</v>
      </c>
      <c r="C663" s="6" t="s">
        <v>108</v>
      </c>
      <c r="D663" s="6" t="s">
        <v>687</v>
      </c>
      <c r="E663" s="6" t="s">
        <v>6</v>
      </c>
      <c r="F663" s="6" t="s">
        <v>222</v>
      </c>
      <c r="G663" s="11">
        <f>G664+G666+G670+G684+G668</f>
        <v>10210.570100000001</v>
      </c>
      <c r="H663" s="13">
        <f>H664+H666+H670+H684</f>
        <v>10645.2</v>
      </c>
      <c r="I663" s="13">
        <f>I664+I666+I670+I684</f>
        <v>10645.2</v>
      </c>
    </row>
    <row r="664" spans="1:10" ht="95.25" customHeight="1" x14ac:dyDescent="0.25">
      <c r="A664" s="255" t="s">
        <v>670</v>
      </c>
      <c r="B664" s="17" t="s">
        <v>226</v>
      </c>
      <c r="C664" s="6" t="s">
        <v>108</v>
      </c>
      <c r="D664" s="6" t="s">
        <v>687</v>
      </c>
      <c r="E664" s="6" t="s">
        <v>9</v>
      </c>
      <c r="F664" s="6" t="s">
        <v>671</v>
      </c>
      <c r="G664" s="11">
        <f>G665</f>
        <v>8906.3423500000008</v>
      </c>
      <c r="H664" s="13">
        <f>H665</f>
        <v>9647.3000000000011</v>
      </c>
      <c r="I664" s="13">
        <f>I665</f>
        <v>9647.3000000000011</v>
      </c>
    </row>
    <row r="665" spans="1:10" ht="32.25" customHeight="1" x14ac:dyDescent="0.25">
      <c r="A665" s="255" t="s">
        <v>672</v>
      </c>
      <c r="B665" s="17" t="s">
        <v>226</v>
      </c>
      <c r="C665" s="6" t="s">
        <v>108</v>
      </c>
      <c r="D665" s="6" t="s">
        <v>687</v>
      </c>
      <c r="E665" s="6" t="s">
        <v>9</v>
      </c>
      <c r="F665" s="6" t="s">
        <v>673</v>
      </c>
      <c r="G665" s="11">
        <f>'3'!F55</f>
        <v>8906.3423500000008</v>
      </c>
      <c r="H665" s="11">
        <f>'3'!G55</f>
        <v>9647.3000000000011</v>
      </c>
      <c r="I665" s="11">
        <f>'3'!H55</f>
        <v>9647.3000000000011</v>
      </c>
    </row>
    <row r="666" spans="1:10" ht="33" customHeight="1" x14ac:dyDescent="0.25">
      <c r="A666" s="255" t="s">
        <v>676</v>
      </c>
      <c r="B666" s="17" t="s">
        <v>226</v>
      </c>
      <c r="C666" s="6" t="s">
        <v>108</v>
      </c>
      <c r="D666" s="6" t="s">
        <v>687</v>
      </c>
      <c r="E666" s="6" t="s">
        <v>9</v>
      </c>
      <c r="F666" s="6" t="s">
        <v>677</v>
      </c>
      <c r="G666" s="11">
        <f>G667</f>
        <v>1297.25</v>
      </c>
      <c r="H666" s="13">
        <f>H667</f>
        <v>995.9</v>
      </c>
      <c r="I666" s="13">
        <f>I667</f>
        <v>995.9</v>
      </c>
    </row>
    <row r="667" spans="1:10" ht="48" customHeight="1" x14ac:dyDescent="0.25">
      <c r="A667" s="255" t="s">
        <v>678</v>
      </c>
      <c r="B667" s="17" t="s">
        <v>226</v>
      </c>
      <c r="C667" s="6" t="s">
        <v>108</v>
      </c>
      <c r="D667" s="6" t="s">
        <v>687</v>
      </c>
      <c r="E667" s="6" t="s">
        <v>9</v>
      </c>
      <c r="F667" s="6" t="s">
        <v>679</v>
      </c>
      <c r="G667" s="11">
        <f>'3'!F57</f>
        <v>1297.25</v>
      </c>
      <c r="H667" s="11">
        <f>'3'!G57</f>
        <v>995.9</v>
      </c>
      <c r="I667" s="11">
        <f>'3'!H57</f>
        <v>995.9</v>
      </c>
    </row>
    <row r="668" spans="1:10" ht="30" x14ac:dyDescent="0.25">
      <c r="A668" s="255" t="s">
        <v>832</v>
      </c>
      <c r="B668" s="3" t="s">
        <v>226</v>
      </c>
      <c r="C668" s="4" t="s">
        <v>108</v>
      </c>
      <c r="D668" s="4" t="s">
        <v>703</v>
      </c>
      <c r="E668" s="4" t="s">
        <v>9</v>
      </c>
      <c r="F668" s="4" t="s">
        <v>833</v>
      </c>
      <c r="G668" s="11">
        <f>G669</f>
        <v>2.57775</v>
      </c>
      <c r="H668" s="11">
        <f>H669</f>
        <v>0</v>
      </c>
      <c r="I668" s="11">
        <f>I669</f>
        <v>0</v>
      </c>
    </row>
    <row r="669" spans="1:10" ht="30" x14ac:dyDescent="0.25">
      <c r="A669" s="255" t="s">
        <v>122</v>
      </c>
      <c r="B669" s="17" t="s">
        <v>226</v>
      </c>
      <c r="C669" s="6" t="s">
        <v>108</v>
      </c>
      <c r="D669" s="6" t="s">
        <v>687</v>
      </c>
      <c r="E669" s="6" t="s">
        <v>9</v>
      </c>
      <c r="F669" s="4" t="s">
        <v>878</v>
      </c>
      <c r="G669" s="11">
        <f>'3'!F59</f>
        <v>2.57775</v>
      </c>
      <c r="H669" s="11">
        <v>0</v>
      </c>
      <c r="I669" s="11">
        <v>0</v>
      </c>
    </row>
    <row r="670" spans="1:10" x14ac:dyDescent="0.25">
      <c r="A670" s="255" t="s">
        <v>680</v>
      </c>
      <c r="B670" s="17" t="s">
        <v>226</v>
      </c>
      <c r="C670" s="6" t="s">
        <v>108</v>
      </c>
      <c r="D670" s="6" t="s">
        <v>687</v>
      </c>
      <c r="E670" s="6" t="s">
        <v>9</v>
      </c>
      <c r="F670" s="6" t="s">
        <v>681</v>
      </c>
      <c r="G670" s="11">
        <f>G671</f>
        <v>4.4000000000000004</v>
      </c>
      <c r="H670" s="13">
        <f>H671</f>
        <v>2</v>
      </c>
      <c r="I670" s="13">
        <f>I671</f>
        <v>2</v>
      </c>
    </row>
    <row r="671" spans="1:10" x14ac:dyDescent="0.25">
      <c r="A671" s="255" t="s">
        <v>682</v>
      </c>
      <c r="B671" s="17" t="s">
        <v>226</v>
      </c>
      <c r="C671" s="6" t="s">
        <v>108</v>
      </c>
      <c r="D671" s="6" t="s">
        <v>687</v>
      </c>
      <c r="E671" s="6" t="s">
        <v>9</v>
      </c>
      <c r="F671" s="6" t="s">
        <v>683</v>
      </c>
      <c r="G671" s="11">
        <f>'3'!F61</f>
        <v>4.4000000000000004</v>
      </c>
      <c r="H671" s="11">
        <f>'3'!G61</f>
        <v>2</v>
      </c>
      <c r="I671" s="11">
        <f>'3'!H61</f>
        <v>2</v>
      </c>
    </row>
    <row r="672" spans="1:10" hidden="1" x14ac:dyDescent="0.25">
      <c r="A672" s="255" t="s">
        <v>720</v>
      </c>
      <c r="B672" s="17" t="s">
        <v>226</v>
      </c>
      <c r="C672" s="6" t="s">
        <v>108</v>
      </c>
      <c r="D672" s="6" t="s">
        <v>687</v>
      </c>
      <c r="E672" s="6" t="s">
        <v>976</v>
      </c>
      <c r="F672" s="6" t="s">
        <v>222</v>
      </c>
      <c r="G672" s="11">
        <f t="shared" ref="G672:I673" si="144">G673</f>
        <v>0</v>
      </c>
      <c r="H672" s="13">
        <f t="shared" si="144"/>
        <v>0</v>
      </c>
      <c r="I672" s="13">
        <f t="shared" si="144"/>
        <v>0</v>
      </c>
    </row>
    <row r="673" spans="1:16" hidden="1" x14ac:dyDescent="0.25">
      <c r="A673" s="255" t="s">
        <v>680</v>
      </c>
      <c r="B673" s="17" t="s">
        <v>226</v>
      </c>
      <c r="C673" s="6" t="s">
        <v>108</v>
      </c>
      <c r="D673" s="6" t="s">
        <v>687</v>
      </c>
      <c r="E673" s="6" t="s">
        <v>976</v>
      </c>
      <c r="F673" s="6" t="s">
        <v>681</v>
      </c>
      <c r="G673" s="11">
        <f t="shared" si="144"/>
        <v>0</v>
      </c>
      <c r="H673" s="13">
        <f t="shared" si="144"/>
        <v>0</v>
      </c>
      <c r="I673" s="13">
        <f t="shared" si="144"/>
        <v>0</v>
      </c>
    </row>
    <row r="674" spans="1:16" hidden="1" x14ac:dyDescent="0.25">
      <c r="A674" s="255" t="s">
        <v>720</v>
      </c>
      <c r="B674" s="17" t="s">
        <v>226</v>
      </c>
      <c r="C674" s="6" t="s">
        <v>108</v>
      </c>
      <c r="D674" s="6" t="s">
        <v>687</v>
      </c>
      <c r="E674" s="6" t="s">
        <v>976</v>
      </c>
      <c r="F674" s="6" t="s">
        <v>721</v>
      </c>
      <c r="G674" s="11"/>
      <c r="H674" s="16"/>
      <c r="I674" s="16"/>
    </row>
    <row r="675" spans="1:16" ht="30" hidden="1" x14ac:dyDescent="0.25">
      <c r="A675" s="277" t="s">
        <v>698</v>
      </c>
      <c r="B675" s="42" t="s">
        <v>226</v>
      </c>
      <c r="C675" s="18" t="s">
        <v>108</v>
      </c>
      <c r="D675" s="18" t="s">
        <v>211</v>
      </c>
      <c r="E675" s="18" t="s">
        <v>666</v>
      </c>
      <c r="F675" s="18" t="s">
        <v>222</v>
      </c>
      <c r="G675" s="95">
        <f>G676</f>
        <v>0</v>
      </c>
      <c r="H675" s="15">
        <f t="shared" ref="H675:I679" si="145">H676</f>
        <v>0</v>
      </c>
      <c r="I675" s="15">
        <f t="shared" si="145"/>
        <v>0</v>
      </c>
      <c r="L675" s="175"/>
      <c r="M675" s="175"/>
      <c r="N675" s="175"/>
      <c r="O675" s="175"/>
      <c r="P675" s="175"/>
    </row>
    <row r="676" spans="1:16" ht="30" hidden="1" x14ac:dyDescent="0.25">
      <c r="A676" s="255" t="s">
        <v>699</v>
      </c>
      <c r="B676" s="17" t="s">
        <v>226</v>
      </c>
      <c r="C676" s="6" t="s">
        <v>108</v>
      </c>
      <c r="D676" s="6" t="s">
        <v>211</v>
      </c>
      <c r="E676" s="6" t="s">
        <v>5</v>
      </c>
      <c r="F676" s="6" t="s">
        <v>222</v>
      </c>
      <c r="G676" s="11">
        <f>G677</f>
        <v>0</v>
      </c>
      <c r="H676" s="13">
        <f t="shared" si="145"/>
        <v>0</v>
      </c>
      <c r="I676" s="13">
        <f t="shared" si="145"/>
        <v>0</v>
      </c>
    </row>
    <row r="677" spans="1:16" ht="45" hidden="1" x14ac:dyDescent="0.25">
      <c r="A677" s="255" t="s">
        <v>110</v>
      </c>
      <c r="B677" s="17" t="s">
        <v>226</v>
      </c>
      <c r="C677" s="6" t="s">
        <v>108</v>
      </c>
      <c r="D677" s="6" t="s">
        <v>211</v>
      </c>
      <c r="E677" s="6" t="s">
        <v>6</v>
      </c>
      <c r="F677" s="6" t="s">
        <v>222</v>
      </c>
      <c r="G677" s="11">
        <f>G678</f>
        <v>0</v>
      </c>
      <c r="H677" s="13">
        <f t="shared" si="145"/>
        <v>0</v>
      </c>
      <c r="I677" s="13">
        <f t="shared" si="145"/>
        <v>0</v>
      </c>
    </row>
    <row r="678" spans="1:16" ht="30" hidden="1" x14ac:dyDescent="0.25">
      <c r="A678" s="255" t="s">
        <v>266</v>
      </c>
      <c r="B678" s="17" t="s">
        <v>226</v>
      </c>
      <c r="C678" s="6" t="s">
        <v>108</v>
      </c>
      <c r="D678" s="6" t="s">
        <v>211</v>
      </c>
      <c r="E678" s="6" t="s">
        <v>267</v>
      </c>
      <c r="F678" s="6" t="s">
        <v>222</v>
      </c>
      <c r="G678" s="11">
        <f>G679</f>
        <v>0</v>
      </c>
      <c r="H678" s="13">
        <f t="shared" si="145"/>
        <v>0</v>
      </c>
      <c r="I678" s="13">
        <f t="shared" si="145"/>
        <v>0</v>
      </c>
    </row>
    <row r="679" spans="1:16" hidden="1" x14ac:dyDescent="0.25">
      <c r="A679" s="255" t="s">
        <v>680</v>
      </c>
      <c r="B679" s="17" t="s">
        <v>226</v>
      </c>
      <c r="C679" s="6" t="s">
        <v>108</v>
      </c>
      <c r="D679" s="6" t="s">
        <v>211</v>
      </c>
      <c r="E679" s="6" t="s">
        <v>267</v>
      </c>
      <c r="F679" s="6" t="s">
        <v>681</v>
      </c>
      <c r="G679" s="11">
        <f>G680</f>
        <v>0</v>
      </c>
      <c r="H679" s="13">
        <f t="shared" si="145"/>
        <v>0</v>
      </c>
      <c r="I679" s="13">
        <f t="shared" si="145"/>
        <v>0</v>
      </c>
    </row>
    <row r="680" spans="1:16" hidden="1" x14ac:dyDescent="0.25">
      <c r="A680" s="308" t="s">
        <v>700</v>
      </c>
      <c r="B680" s="17" t="s">
        <v>226</v>
      </c>
      <c r="C680" s="6" t="s">
        <v>108</v>
      </c>
      <c r="D680" s="6" t="s">
        <v>211</v>
      </c>
      <c r="E680" s="6" t="s">
        <v>267</v>
      </c>
      <c r="F680" s="6" t="s">
        <v>701</v>
      </c>
      <c r="G680" s="11"/>
      <c r="H680" s="13"/>
      <c r="I680" s="13"/>
    </row>
    <row r="681" spans="1:16" hidden="1" x14ac:dyDescent="0.25">
      <c r="A681" s="277" t="s">
        <v>720</v>
      </c>
      <c r="B681" s="42" t="s">
        <v>226</v>
      </c>
      <c r="C681" s="18" t="s">
        <v>108</v>
      </c>
      <c r="D681" s="18" t="s">
        <v>703</v>
      </c>
      <c r="E681" s="18" t="s">
        <v>12</v>
      </c>
      <c r="F681" s="18" t="s">
        <v>222</v>
      </c>
      <c r="G681" s="95">
        <f t="shared" ref="G681:I682" si="146">G682</f>
        <v>0</v>
      </c>
      <c r="H681" s="15">
        <f t="shared" si="146"/>
        <v>0</v>
      </c>
      <c r="I681" s="15">
        <f t="shared" si="146"/>
        <v>0</v>
      </c>
    </row>
    <row r="682" spans="1:16" hidden="1" x14ac:dyDescent="0.25">
      <c r="A682" s="255" t="s">
        <v>680</v>
      </c>
      <c r="B682" s="17" t="s">
        <v>226</v>
      </c>
      <c r="C682" s="6" t="s">
        <v>108</v>
      </c>
      <c r="D682" s="6" t="s">
        <v>703</v>
      </c>
      <c r="E682" s="6" t="s">
        <v>12</v>
      </c>
      <c r="F682" s="6" t="s">
        <v>681</v>
      </c>
      <c r="G682" s="11">
        <f t="shared" si="146"/>
        <v>0</v>
      </c>
      <c r="H682" s="13">
        <f t="shared" si="146"/>
        <v>0</v>
      </c>
      <c r="I682" s="13">
        <f t="shared" si="146"/>
        <v>0</v>
      </c>
    </row>
    <row r="683" spans="1:16" hidden="1" x14ac:dyDescent="0.25">
      <c r="A683" s="255" t="s">
        <v>720</v>
      </c>
      <c r="B683" s="17" t="s">
        <v>226</v>
      </c>
      <c r="C683" s="6" t="s">
        <v>108</v>
      </c>
      <c r="D683" s="6" t="s">
        <v>703</v>
      </c>
      <c r="E683" s="6" t="s">
        <v>12</v>
      </c>
      <c r="F683" s="6" t="s">
        <v>721</v>
      </c>
      <c r="G683" s="11"/>
      <c r="H683" s="13"/>
      <c r="I683" s="13"/>
    </row>
    <row r="684" spans="1:16" hidden="1" x14ac:dyDescent="0.25">
      <c r="A684" s="277" t="s">
        <v>720</v>
      </c>
      <c r="B684" s="42" t="s">
        <v>226</v>
      </c>
      <c r="C684" s="18" t="s">
        <v>108</v>
      </c>
      <c r="D684" s="18" t="s">
        <v>703</v>
      </c>
      <c r="E684" s="18" t="s">
        <v>12</v>
      </c>
      <c r="F684" s="18" t="s">
        <v>222</v>
      </c>
      <c r="G684" s="95">
        <f t="shared" ref="G684:I685" si="147">G685</f>
        <v>0</v>
      </c>
      <c r="H684" s="15">
        <f t="shared" si="147"/>
        <v>0</v>
      </c>
      <c r="I684" s="15">
        <f t="shared" si="147"/>
        <v>0</v>
      </c>
    </row>
    <row r="685" spans="1:16" hidden="1" x14ac:dyDescent="0.25">
      <c r="A685" s="255" t="s">
        <v>680</v>
      </c>
      <c r="B685" s="17" t="s">
        <v>226</v>
      </c>
      <c r="C685" s="6" t="s">
        <v>108</v>
      </c>
      <c r="D685" s="6" t="s">
        <v>703</v>
      </c>
      <c r="E685" s="6" t="s">
        <v>12</v>
      </c>
      <c r="F685" s="6" t="s">
        <v>681</v>
      </c>
      <c r="G685" s="11">
        <f t="shared" si="147"/>
        <v>0</v>
      </c>
      <c r="H685" s="13">
        <f t="shared" si="147"/>
        <v>0</v>
      </c>
      <c r="I685" s="13">
        <f t="shared" si="147"/>
        <v>0</v>
      </c>
    </row>
    <row r="686" spans="1:16" hidden="1" x14ac:dyDescent="0.25">
      <c r="A686" s="255" t="s">
        <v>720</v>
      </c>
      <c r="B686" s="17" t="s">
        <v>226</v>
      </c>
      <c r="C686" s="6" t="s">
        <v>108</v>
      </c>
      <c r="D686" s="6" t="s">
        <v>703</v>
      </c>
      <c r="E686" s="6" t="s">
        <v>12</v>
      </c>
      <c r="F686" s="6" t="s">
        <v>721</v>
      </c>
      <c r="G686" s="11"/>
      <c r="H686" s="13"/>
      <c r="I686" s="13"/>
    </row>
    <row r="687" spans="1:16" ht="30" hidden="1" x14ac:dyDescent="0.25">
      <c r="A687" s="254" t="s">
        <v>629</v>
      </c>
      <c r="B687" s="3" t="s">
        <v>226</v>
      </c>
      <c r="C687" s="4" t="s">
        <v>108</v>
      </c>
      <c r="D687" s="4" t="s">
        <v>703</v>
      </c>
      <c r="E687" s="3" t="s">
        <v>9</v>
      </c>
      <c r="F687" s="4" t="s">
        <v>677</v>
      </c>
      <c r="G687" s="11">
        <f>G688</f>
        <v>0</v>
      </c>
      <c r="H687" s="11">
        <f>H688</f>
        <v>0</v>
      </c>
      <c r="I687" s="11">
        <f>I688</f>
        <v>0</v>
      </c>
    </row>
    <row r="688" spans="1:16" ht="45" hidden="1" x14ac:dyDescent="0.25">
      <c r="A688" s="255" t="s">
        <v>678</v>
      </c>
      <c r="B688" s="17" t="s">
        <v>226</v>
      </c>
      <c r="C688" s="6" t="s">
        <v>108</v>
      </c>
      <c r="D688" s="6" t="s">
        <v>703</v>
      </c>
      <c r="E688" s="3" t="s">
        <v>9</v>
      </c>
      <c r="F688" s="4" t="s">
        <v>679</v>
      </c>
      <c r="G688" s="11">
        <v>0</v>
      </c>
      <c r="H688" s="13">
        <v>0</v>
      </c>
      <c r="I688" s="13">
        <v>0</v>
      </c>
    </row>
    <row r="689" spans="1:16" s="175" customFormat="1" ht="51.75" customHeight="1" x14ac:dyDescent="0.25">
      <c r="A689" s="263" t="s">
        <v>1020</v>
      </c>
      <c r="B689" s="96" t="s">
        <v>226</v>
      </c>
      <c r="C689" s="158" t="s">
        <v>211</v>
      </c>
      <c r="D689" s="158" t="s">
        <v>685</v>
      </c>
      <c r="E689" s="158" t="s">
        <v>1017</v>
      </c>
      <c r="F689" s="158" t="s">
        <v>222</v>
      </c>
      <c r="G689" s="95">
        <f>G690</f>
        <v>12.8</v>
      </c>
      <c r="H689" s="95">
        <f t="shared" ref="H689:I690" si="148">H690</f>
        <v>20</v>
      </c>
      <c r="I689" s="95">
        <f t="shared" si="148"/>
        <v>20</v>
      </c>
      <c r="L689" s="7"/>
      <c r="M689" s="7"/>
      <c r="N689" s="7"/>
      <c r="O689" s="7"/>
      <c r="P689" s="7"/>
    </row>
    <row r="690" spans="1:16" ht="35.25" customHeight="1" x14ac:dyDescent="0.25">
      <c r="A690" s="255" t="s">
        <v>676</v>
      </c>
      <c r="B690" s="17" t="s">
        <v>226</v>
      </c>
      <c r="C690" s="6" t="s">
        <v>211</v>
      </c>
      <c r="D690" s="6" t="s">
        <v>685</v>
      </c>
      <c r="E690" s="6" t="s">
        <v>1017</v>
      </c>
      <c r="F690" s="6" t="s">
        <v>677</v>
      </c>
      <c r="G690" s="11">
        <f>G691</f>
        <v>12.8</v>
      </c>
      <c r="H690" s="11">
        <f t="shared" si="148"/>
        <v>20</v>
      </c>
      <c r="I690" s="11">
        <f t="shared" si="148"/>
        <v>20</v>
      </c>
    </row>
    <row r="691" spans="1:16" ht="45" x14ac:dyDescent="0.25">
      <c r="A691" s="255" t="s">
        <v>678</v>
      </c>
      <c r="B691" s="17" t="s">
        <v>226</v>
      </c>
      <c r="C691" s="6" t="s">
        <v>211</v>
      </c>
      <c r="D691" s="6" t="s">
        <v>685</v>
      </c>
      <c r="E691" s="6" t="s">
        <v>1017</v>
      </c>
      <c r="F691" s="6" t="s">
        <v>679</v>
      </c>
      <c r="G691" s="11">
        <f>20-7.2</f>
        <v>12.8</v>
      </c>
      <c r="H691" s="11">
        <v>20</v>
      </c>
      <c r="I691" s="11">
        <v>20</v>
      </c>
    </row>
    <row r="692" spans="1:16" ht="75" x14ac:dyDescent="0.25">
      <c r="A692" s="304" t="s">
        <v>485</v>
      </c>
      <c r="B692" s="190" t="s">
        <v>226</v>
      </c>
      <c r="C692" s="191" t="s">
        <v>915</v>
      </c>
      <c r="D692" s="191" t="s">
        <v>109</v>
      </c>
      <c r="E692" s="191" t="s">
        <v>286</v>
      </c>
      <c r="F692" s="191" t="s">
        <v>222</v>
      </c>
      <c r="G692" s="192">
        <f>G693+G701+G703+G707+G694+G711+G713+G716</f>
        <v>22878.520149999997</v>
      </c>
      <c r="H692" s="192">
        <f>H693+H701+H703+H707+H694+H711+H713+H716</f>
        <v>11791.041999999999</v>
      </c>
      <c r="I692" s="192">
        <f>I693+I701+I703+I707+I694+I711+I713+I716</f>
        <v>11741.041999999999</v>
      </c>
    </row>
    <row r="693" spans="1:16" ht="50.25" customHeight="1" x14ac:dyDescent="0.25">
      <c r="A693" s="254" t="s">
        <v>916</v>
      </c>
      <c r="B693" s="3" t="s">
        <v>226</v>
      </c>
      <c r="C693" s="4" t="s">
        <v>915</v>
      </c>
      <c r="D693" s="4" t="s">
        <v>108</v>
      </c>
      <c r="E693" s="4" t="s">
        <v>286</v>
      </c>
      <c r="F693" s="4" t="s">
        <v>222</v>
      </c>
      <c r="G693" s="11">
        <f>G698</f>
        <v>7883.3519999999999</v>
      </c>
      <c r="H693" s="11">
        <f>H698</f>
        <v>0</v>
      </c>
      <c r="I693" s="11">
        <f>I698</f>
        <v>0</v>
      </c>
    </row>
    <row r="694" spans="1:16" ht="45" x14ac:dyDescent="0.25">
      <c r="A694" s="277" t="s">
        <v>917</v>
      </c>
      <c r="B694" s="17" t="s">
        <v>226</v>
      </c>
      <c r="C694" s="18" t="s">
        <v>915</v>
      </c>
      <c r="D694" s="18" t="s">
        <v>108</v>
      </c>
      <c r="E694" s="18" t="s">
        <v>279</v>
      </c>
      <c r="F694" s="18" t="s">
        <v>222</v>
      </c>
      <c r="G694" s="15">
        <f>G695</f>
        <v>11041.041999999999</v>
      </c>
      <c r="H694" s="15">
        <f t="shared" ref="H694:I696" si="149">H695</f>
        <v>0</v>
      </c>
      <c r="I694" s="15">
        <f t="shared" si="149"/>
        <v>0</v>
      </c>
    </row>
    <row r="695" spans="1:16" ht="21" customHeight="1" x14ac:dyDescent="0.25">
      <c r="A695" s="255" t="s">
        <v>743</v>
      </c>
      <c r="B695" s="17" t="s">
        <v>226</v>
      </c>
      <c r="C695" s="6" t="s">
        <v>915</v>
      </c>
      <c r="D695" s="6" t="s">
        <v>108</v>
      </c>
      <c r="E695" s="6" t="s">
        <v>279</v>
      </c>
      <c r="F695" s="6" t="s">
        <v>222</v>
      </c>
      <c r="G695" s="13">
        <f>G696</f>
        <v>11041.041999999999</v>
      </c>
      <c r="H695" s="13">
        <f t="shared" si="149"/>
        <v>0</v>
      </c>
      <c r="I695" s="13">
        <f t="shared" si="149"/>
        <v>0</v>
      </c>
      <c r="L695" s="48"/>
      <c r="M695" s="48"/>
      <c r="N695" s="48"/>
      <c r="O695" s="48"/>
      <c r="P695" s="48"/>
    </row>
    <row r="696" spans="1:16" ht="113.25" customHeight="1" x14ac:dyDescent="0.25">
      <c r="A696" s="277" t="s">
        <v>197</v>
      </c>
      <c r="B696" s="17" t="s">
        <v>226</v>
      </c>
      <c r="C696" s="6" t="s">
        <v>915</v>
      </c>
      <c r="D696" s="6" t="s">
        <v>108</v>
      </c>
      <c r="E696" s="6" t="s">
        <v>279</v>
      </c>
      <c r="F696" s="6" t="s">
        <v>222</v>
      </c>
      <c r="G696" s="13">
        <f>G697</f>
        <v>11041.041999999999</v>
      </c>
      <c r="H696" s="13">
        <f t="shared" si="149"/>
        <v>0</v>
      </c>
      <c r="I696" s="13">
        <f t="shared" si="149"/>
        <v>0</v>
      </c>
    </row>
    <row r="697" spans="1:16" ht="20.25" customHeight="1" x14ac:dyDescent="0.25">
      <c r="A697" s="255" t="s">
        <v>918</v>
      </c>
      <c r="B697" s="17" t="s">
        <v>226</v>
      </c>
      <c r="C697" s="6" t="s">
        <v>915</v>
      </c>
      <c r="D697" s="6" t="s">
        <v>108</v>
      </c>
      <c r="E697" s="6" t="s">
        <v>279</v>
      </c>
      <c r="F697" s="6" t="s">
        <v>919</v>
      </c>
      <c r="G697" s="13">
        <f>'5'!D219</f>
        <v>11041.041999999999</v>
      </c>
      <c r="H697" s="13">
        <f>'5'!E219</f>
        <v>0</v>
      </c>
      <c r="I697" s="13">
        <f>'5'!F219</f>
        <v>0</v>
      </c>
    </row>
    <row r="698" spans="1:16" ht="45" x14ac:dyDescent="0.25">
      <c r="A698" s="277" t="s">
        <v>185</v>
      </c>
      <c r="B698" s="17" t="s">
        <v>226</v>
      </c>
      <c r="C698" s="18" t="s">
        <v>915</v>
      </c>
      <c r="D698" s="18" t="s">
        <v>108</v>
      </c>
      <c r="E698" s="18" t="s">
        <v>280</v>
      </c>
      <c r="F698" s="18" t="s">
        <v>222</v>
      </c>
      <c r="G698" s="15">
        <f>G699</f>
        <v>7883.3519999999999</v>
      </c>
      <c r="H698" s="15">
        <f>H699</f>
        <v>0</v>
      </c>
      <c r="I698" s="15">
        <f>I699</f>
        <v>0</v>
      </c>
    </row>
    <row r="699" spans="1:16" x14ac:dyDescent="0.25">
      <c r="A699" s="255" t="s">
        <v>918</v>
      </c>
      <c r="B699" s="17" t="s">
        <v>226</v>
      </c>
      <c r="C699" s="6" t="s">
        <v>915</v>
      </c>
      <c r="D699" s="6" t="s">
        <v>108</v>
      </c>
      <c r="E699" s="6" t="s">
        <v>280</v>
      </c>
      <c r="F699" s="6" t="s">
        <v>919</v>
      </c>
      <c r="G699" s="13">
        <f>'5'!D220</f>
        <v>7883.3519999999999</v>
      </c>
      <c r="H699" s="13">
        <f>'5'!E220</f>
        <v>0</v>
      </c>
      <c r="I699" s="13">
        <f>'5'!F220</f>
        <v>0</v>
      </c>
    </row>
    <row r="700" spans="1:16" ht="45" hidden="1" x14ac:dyDescent="0.25">
      <c r="A700" s="255" t="s">
        <v>185</v>
      </c>
      <c r="B700" s="17" t="s">
        <v>226</v>
      </c>
      <c r="C700" s="6" t="s">
        <v>915</v>
      </c>
      <c r="D700" s="6" t="s">
        <v>108</v>
      </c>
      <c r="E700" s="6" t="s">
        <v>12</v>
      </c>
      <c r="F700" s="6" t="s">
        <v>222</v>
      </c>
      <c r="G700" s="13">
        <f>G701</f>
        <v>0</v>
      </c>
      <c r="H700" s="13">
        <f>H701</f>
        <v>0</v>
      </c>
      <c r="I700" s="13">
        <f>I701</f>
        <v>0</v>
      </c>
    </row>
    <row r="701" spans="1:16" hidden="1" x14ac:dyDescent="0.25">
      <c r="A701" s="255" t="s">
        <v>720</v>
      </c>
      <c r="B701" s="17" t="s">
        <v>226</v>
      </c>
      <c r="C701" s="6" t="s">
        <v>915</v>
      </c>
      <c r="D701" s="6" t="s">
        <v>108</v>
      </c>
      <c r="E701" s="6" t="s">
        <v>12</v>
      </c>
      <c r="F701" s="6" t="s">
        <v>919</v>
      </c>
      <c r="G701" s="13"/>
      <c r="H701" s="13"/>
      <c r="I701" s="13"/>
    </row>
    <row r="702" spans="1:16" ht="30" x14ac:dyDescent="0.25">
      <c r="A702" s="309" t="s">
        <v>920</v>
      </c>
      <c r="B702" s="179" t="s">
        <v>226</v>
      </c>
      <c r="C702" s="193" t="s">
        <v>915</v>
      </c>
      <c r="D702" s="193" t="s">
        <v>111</v>
      </c>
      <c r="E702" s="193" t="s">
        <v>286</v>
      </c>
      <c r="F702" s="193" t="s">
        <v>222</v>
      </c>
      <c r="G702" s="194">
        <f>G703+G708</f>
        <v>3954.1261500000001</v>
      </c>
      <c r="H702" s="194">
        <f>H703+H708</f>
        <v>0</v>
      </c>
      <c r="I702" s="194">
        <f>I703+I708</f>
        <v>0</v>
      </c>
    </row>
    <row r="703" spans="1:16" ht="30" x14ac:dyDescent="0.25">
      <c r="A703" s="255" t="s">
        <v>247</v>
      </c>
      <c r="B703" s="17" t="s">
        <v>226</v>
      </c>
      <c r="C703" s="6" t="s">
        <v>915</v>
      </c>
      <c r="D703" s="6" t="s">
        <v>111</v>
      </c>
      <c r="E703" s="6" t="s">
        <v>281</v>
      </c>
      <c r="F703" s="6" t="s">
        <v>222</v>
      </c>
      <c r="G703" s="13">
        <f>G704</f>
        <v>3954.1261500000001</v>
      </c>
      <c r="H703" s="13">
        <f>H704</f>
        <v>0</v>
      </c>
      <c r="I703" s="13">
        <f>I704</f>
        <v>0</v>
      </c>
    </row>
    <row r="704" spans="1:16" ht="16.5" customHeight="1" x14ac:dyDescent="0.25">
      <c r="A704" s="255" t="s">
        <v>743</v>
      </c>
      <c r="B704" s="17" t="s">
        <v>226</v>
      </c>
      <c r="C704" s="6" t="s">
        <v>915</v>
      </c>
      <c r="D704" s="6" t="s">
        <v>111</v>
      </c>
      <c r="E704" s="6" t="s">
        <v>281</v>
      </c>
      <c r="F704" s="6" t="s">
        <v>744</v>
      </c>
      <c r="G704" s="13">
        <f>G705+G708</f>
        <v>3954.1261500000001</v>
      </c>
      <c r="H704" s="13">
        <f>H705+H708</f>
        <v>0</v>
      </c>
      <c r="I704" s="13">
        <f>I705+I708</f>
        <v>0</v>
      </c>
    </row>
    <row r="705" spans="1:16" ht="17.649999999999999" customHeight="1" x14ac:dyDescent="0.25">
      <c r="A705" s="255" t="s">
        <v>175</v>
      </c>
      <c r="B705" s="17" t="s">
        <v>226</v>
      </c>
      <c r="C705" s="6" t="s">
        <v>915</v>
      </c>
      <c r="D705" s="6" t="s">
        <v>111</v>
      </c>
      <c r="E705" s="6" t="s">
        <v>281</v>
      </c>
      <c r="F705" s="6" t="s">
        <v>761</v>
      </c>
      <c r="G705" s="11">
        <f>'5'!D221+'5'!D223</f>
        <v>3954.1261500000001</v>
      </c>
      <c r="H705" s="11">
        <f>'5'!E221+'5'!E223</f>
        <v>0</v>
      </c>
      <c r="I705" s="11">
        <f>'5'!F221+'5'!F223</f>
        <v>0</v>
      </c>
    </row>
    <row r="706" spans="1:16" hidden="1" x14ac:dyDescent="0.25">
      <c r="A706" s="255" t="s">
        <v>743</v>
      </c>
      <c r="B706" s="17" t="s">
        <v>226</v>
      </c>
      <c r="C706" s="6" t="s">
        <v>915</v>
      </c>
      <c r="D706" s="6" t="s">
        <v>111</v>
      </c>
      <c r="E706" s="6" t="s">
        <v>270</v>
      </c>
      <c r="F706" s="6" t="s">
        <v>744</v>
      </c>
      <c r="G706" s="13">
        <f>G707</f>
        <v>0</v>
      </c>
      <c r="H706" s="13">
        <f>H707</f>
        <v>0</v>
      </c>
      <c r="I706" s="13">
        <f>I707</f>
        <v>0</v>
      </c>
    </row>
    <row r="707" spans="1:16" ht="135" hidden="1" x14ac:dyDescent="0.25">
      <c r="A707" s="255" t="s">
        <v>271</v>
      </c>
      <c r="B707" s="17" t="s">
        <v>226</v>
      </c>
      <c r="C707" s="6" t="s">
        <v>915</v>
      </c>
      <c r="D707" s="6" t="s">
        <v>111</v>
      </c>
      <c r="E707" s="6" t="s">
        <v>270</v>
      </c>
      <c r="F707" s="6" t="s">
        <v>761</v>
      </c>
      <c r="G707" s="13"/>
      <c r="H707" s="13"/>
      <c r="I707" s="13"/>
    </row>
    <row r="708" spans="1:16" ht="75" hidden="1" x14ac:dyDescent="0.25">
      <c r="A708" s="255" t="s">
        <v>921</v>
      </c>
      <c r="B708" s="17" t="s">
        <v>226</v>
      </c>
      <c r="C708" s="6" t="s">
        <v>915</v>
      </c>
      <c r="D708" s="6" t="s">
        <v>111</v>
      </c>
      <c r="E708" s="6" t="s">
        <v>922</v>
      </c>
      <c r="F708" s="6" t="s">
        <v>761</v>
      </c>
      <c r="G708" s="13"/>
      <c r="H708" s="13"/>
      <c r="I708" s="13"/>
    </row>
    <row r="709" spans="1:16" s="48" customFormat="1" x14ac:dyDescent="0.25">
      <c r="A709" s="301" t="s">
        <v>794</v>
      </c>
      <c r="B709" s="179" t="s">
        <v>226</v>
      </c>
      <c r="C709" s="180" t="s">
        <v>915</v>
      </c>
      <c r="D709" s="180" t="s">
        <v>108</v>
      </c>
      <c r="E709" s="180" t="s">
        <v>262</v>
      </c>
      <c r="F709" s="180" t="s">
        <v>222</v>
      </c>
      <c r="G709" s="181">
        <f>G710+G713+G715</f>
        <v>0</v>
      </c>
      <c r="H709" s="181">
        <f>H710+H713+H715</f>
        <v>11791.041999999999</v>
      </c>
      <c r="I709" s="181">
        <f>I710+I713+I715</f>
        <v>11741.041999999999</v>
      </c>
      <c r="L709" s="7"/>
      <c r="M709" s="7"/>
      <c r="N709" s="7"/>
      <c r="O709" s="7"/>
      <c r="P709" s="7"/>
    </row>
    <row r="710" spans="1:16" x14ac:dyDescent="0.25">
      <c r="A710" s="255" t="s">
        <v>743</v>
      </c>
      <c r="B710" s="17"/>
      <c r="C710" s="6"/>
      <c r="D710" s="6"/>
      <c r="E710" s="6" t="s">
        <v>262</v>
      </c>
      <c r="F710" s="6" t="s">
        <v>222</v>
      </c>
      <c r="G710" s="13">
        <f t="shared" ref="G710:I711" si="150">G711</f>
        <v>0</v>
      </c>
      <c r="H710" s="13">
        <f t="shared" si="150"/>
        <v>11041.041999999999</v>
      </c>
      <c r="I710" s="13">
        <f t="shared" si="150"/>
        <v>11041.041999999999</v>
      </c>
    </row>
    <row r="711" spans="1:16" ht="111.75" customHeight="1" x14ac:dyDescent="0.25">
      <c r="A711" s="277" t="s">
        <v>197</v>
      </c>
      <c r="B711" s="42" t="s">
        <v>226</v>
      </c>
      <c r="C711" s="18" t="s">
        <v>915</v>
      </c>
      <c r="D711" s="18" t="s">
        <v>108</v>
      </c>
      <c r="E711" s="18" t="s">
        <v>262</v>
      </c>
      <c r="F711" s="18" t="s">
        <v>744</v>
      </c>
      <c r="G711" s="15">
        <f t="shared" si="150"/>
        <v>0</v>
      </c>
      <c r="H711" s="15">
        <f t="shared" si="150"/>
        <v>11041.041999999999</v>
      </c>
      <c r="I711" s="15">
        <f t="shared" si="150"/>
        <v>11041.041999999999</v>
      </c>
    </row>
    <row r="712" spans="1:16" x14ac:dyDescent="0.25">
      <c r="A712" s="255" t="s">
        <v>918</v>
      </c>
      <c r="B712" s="17" t="s">
        <v>226</v>
      </c>
      <c r="C712" s="18" t="s">
        <v>915</v>
      </c>
      <c r="D712" s="18" t="s">
        <v>108</v>
      </c>
      <c r="E712" s="6" t="s">
        <v>262</v>
      </c>
      <c r="F712" s="18" t="s">
        <v>919</v>
      </c>
      <c r="G712" s="15">
        <f>'5'!D328</f>
        <v>0</v>
      </c>
      <c r="H712" s="15">
        <f>'5'!E328</f>
        <v>11041.041999999999</v>
      </c>
      <c r="I712" s="15">
        <f>'5'!F328</f>
        <v>11041.041999999999</v>
      </c>
    </row>
    <row r="713" spans="1:16" ht="45" x14ac:dyDescent="0.25">
      <c r="A713" s="277" t="s">
        <v>185</v>
      </c>
      <c r="B713" s="17" t="s">
        <v>226</v>
      </c>
      <c r="C713" s="6" t="s">
        <v>915</v>
      </c>
      <c r="D713" s="6" t="s">
        <v>108</v>
      </c>
      <c r="E713" s="6" t="s">
        <v>565</v>
      </c>
      <c r="F713" s="6" t="s">
        <v>744</v>
      </c>
      <c r="G713" s="13">
        <f>G714</f>
        <v>0</v>
      </c>
      <c r="H713" s="13">
        <f>H714</f>
        <v>650</v>
      </c>
      <c r="I713" s="13">
        <f>I714</f>
        <v>600</v>
      </c>
    </row>
    <row r="714" spans="1:16" x14ac:dyDescent="0.25">
      <c r="A714" s="255" t="s">
        <v>918</v>
      </c>
      <c r="B714" s="17" t="s">
        <v>226</v>
      </c>
      <c r="C714" s="6" t="s">
        <v>915</v>
      </c>
      <c r="D714" s="6" t="s">
        <v>108</v>
      </c>
      <c r="E714" s="6" t="s">
        <v>565</v>
      </c>
      <c r="F714" s="6" t="s">
        <v>919</v>
      </c>
      <c r="G714" s="13">
        <f>'5'!D329</f>
        <v>0</v>
      </c>
      <c r="H714" s="13">
        <f>'5'!E329</f>
        <v>650</v>
      </c>
      <c r="I714" s="13">
        <f>'5'!F329</f>
        <v>600</v>
      </c>
    </row>
    <row r="715" spans="1:16" ht="30" x14ac:dyDescent="0.25">
      <c r="A715" s="277" t="s">
        <v>920</v>
      </c>
      <c r="B715" s="42" t="s">
        <v>226</v>
      </c>
      <c r="C715" s="18" t="s">
        <v>915</v>
      </c>
      <c r="D715" s="18" t="s">
        <v>111</v>
      </c>
      <c r="E715" s="18" t="s">
        <v>566</v>
      </c>
      <c r="F715" s="18" t="s">
        <v>744</v>
      </c>
      <c r="G715" s="15">
        <f>G716</f>
        <v>0</v>
      </c>
      <c r="H715" s="15">
        <f>H716</f>
        <v>100</v>
      </c>
      <c r="I715" s="15">
        <f>I716</f>
        <v>100</v>
      </c>
    </row>
    <row r="716" spans="1:16" x14ac:dyDescent="0.25">
      <c r="A716" s="255" t="s">
        <v>175</v>
      </c>
      <c r="B716" s="17" t="s">
        <v>226</v>
      </c>
      <c r="C716" s="6" t="s">
        <v>915</v>
      </c>
      <c r="D716" s="6" t="s">
        <v>111</v>
      </c>
      <c r="E716" s="6" t="s">
        <v>566</v>
      </c>
      <c r="F716" s="6" t="s">
        <v>761</v>
      </c>
      <c r="G716" s="13">
        <f>'5'!D330</f>
        <v>0</v>
      </c>
      <c r="H716" s="13">
        <f>'5'!E330</f>
        <v>100</v>
      </c>
      <c r="I716" s="13">
        <f>'5'!F330</f>
        <v>100</v>
      </c>
    </row>
    <row r="717" spans="1:16" ht="74.25" customHeight="1" x14ac:dyDescent="0.25">
      <c r="A717" s="325" t="s">
        <v>977</v>
      </c>
      <c r="B717" s="326" t="s">
        <v>225</v>
      </c>
      <c r="C717" s="326" t="s">
        <v>109</v>
      </c>
      <c r="D717" s="326" t="s">
        <v>109</v>
      </c>
      <c r="E717" s="326" t="s">
        <v>666</v>
      </c>
      <c r="F717" s="326" t="s">
        <v>222</v>
      </c>
      <c r="G717" s="177">
        <f>G718+G944+G963</f>
        <v>677219.78382999997</v>
      </c>
      <c r="H717" s="177">
        <f>H718+H944+H963</f>
        <v>543029.36564000009</v>
      </c>
      <c r="I717" s="177">
        <f>I718+I944+I963</f>
        <v>545845.63581000001</v>
      </c>
      <c r="J717" s="7">
        <f>185551.37797+291254.4145-544</f>
        <v>476261.79246999999</v>
      </c>
    </row>
    <row r="718" spans="1:16" x14ac:dyDescent="0.25">
      <c r="A718" s="303" t="s">
        <v>788</v>
      </c>
      <c r="B718" s="185" t="s">
        <v>225</v>
      </c>
      <c r="C718" s="184" t="s">
        <v>211</v>
      </c>
      <c r="D718" s="184" t="s">
        <v>109</v>
      </c>
      <c r="E718" s="184" t="s">
        <v>666</v>
      </c>
      <c r="F718" s="184" t="s">
        <v>222</v>
      </c>
      <c r="G718" s="178">
        <f>G719+G745+G827+G855+G860+G870+G881+G852</f>
        <v>673691.28683</v>
      </c>
      <c r="H718" s="178">
        <f>H719+H745+H827+H855+H860+H870+H881+H852</f>
        <v>535427.7556400001</v>
      </c>
      <c r="I718" s="178">
        <f>I719+I745+I827+I855+I860+I870+I881+I852</f>
        <v>539134.87080999999</v>
      </c>
      <c r="J718" s="45">
        <v>185551.37797</v>
      </c>
    </row>
    <row r="719" spans="1:16" x14ac:dyDescent="0.25">
      <c r="A719" s="301" t="s">
        <v>789</v>
      </c>
      <c r="B719" s="179" t="s">
        <v>225</v>
      </c>
      <c r="C719" s="180" t="s">
        <v>211</v>
      </c>
      <c r="D719" s="180" t="s">
        <v>108</v>
      </c>
      <c r="E719" s="180" t="s">
        <v>666</v>
      </c>
      <c r="F719" s="180" t="s">
        <v>222</v>
      </c>
      <c r="G719" s="181">
        <f>G720+G730+G733+G740</f>
        <v>103323.38767</v>
      </c>
      <c r="H719" s="181">
        <f>H720+H730+H733+H740</f>
        <v>90612.01999999999</v>
      </c>
      <c r="I719" s="181">
        <f>I720+I730+I733+I740</f>
        <v>93821.40400000001</v>
      </c>
      <c r="J719" s="45">
        <f>J717-G717</f>
        <v>-200957.99135999999</v>
      </c>
    </row>
    <row r="720" spans="1:16" ht="48.75" customHeight="1" x14ac:dyDescent="0.25">
      <c r="A720" s="277" t="s">
        <v>724</v>
      </c>
      <c r="B720" s="42" t="s">
        <v>225</v>
      </c>
      <c r="C720" s="18" t="s">
        <v>211</v>
      </c>
      <c r="D720" s="18" t="s">
        <v>108</v>
      </c>
      <c r="E720" s="18" t="s">
        <v>22</v>
      </c>
      <c r="F720" s="18" t="s">
        <v>222</v>
      </c>
      <c r="G720" s="15">
        <f>G721</f>
        <v>51358.967669999998</v>
      </c>
      <c r="H720" s="15">
        <f>H721</f>
        <v>35488.356</v>
      </c>
      <c r="I720" s="15">
        <f>I721</f>
        <v>35488.356</v>
      </c>
      <c r="J720" s="7">
        <f>77041.29697-544</f>
        <v>76497.296969999996</v>
      </c>
    </row>
    <row r="721" spans="1:10" ht="49.5" customHeight="1" x14ac:dyDescent="0.25">
      <c r="A721" s="274" t="s">
        <v>790</v>
      </c>
      <c r="B721" s="17" t="s">
        <v>225</v>
      </c>
      <c r="C721" s="6" t="s">
        <v>211</v>
      </c>
      <c r="D721" s="6" t="s">
        <v>108</v>
      </c>
      <c r="E721" s="6" t="s">
        <v>31</v>
      </c>
      <c r="F721" s="6" t="s">
        <v>222</v>
      </c>
      <c r="G721" s="13">
        <f>G722+G727+G725</f>
        <v>51358.967669999998</v>
      </c>
      <c r="H721" s="13">
        <f>H722+H727+H725</f>
        <v>35488.356</v>
      </c>
      <c r="I721" s="13">
        <f>I722+I727+I725</f>
        <v>35488.356</v>
      </c>
      <c r="J721" s="45">
        <f>J720-G719</f>
        <v>-26826.090700000001</v>
      </c>
    </row>
    <row r="722" spans="1:10" ht="48.75" customHeight="1" x14ac:dyDescent="0.25">
      <c r="A722" s="255" t="s">
        <v>715</v>
      </c>
      <c r="B722" s="17" t="s">
        <v>225</v>
      </c>
      <c r="C722" s="6" t="s">
        <v>211</v>
      </c>
      <c r="D722" s="6" t="s">
        <v>108</v>
      </c>
      <c r="E722" s="6" t="s">
        <v>791</v>
      </c>
      <c r="F722" s="6" t="s">
        <v>714</v>
      </c>
      <c r="G722" s="13">
        <f>G723</f>
        <v>150</v>
      </c>
      <c r="H722" s="13">
        <f>H723</f>
        <v>200</v>
      </c>
      <c r="I722" s="13">
        <f>I723</f>
        <v>200</v>
      </c>
    </row>
    <row r="723" spans="1:10" ht="20.25" customHeight="1" x14ac:dyDescent="0.25">
      <c r="A723" s="255" t="s">
        <v>124</v>
      </c>
      <c r="B723" s="17" t="s">
        <v>225</v>
      </c>
      <c r="C723" s="6" t="s">
        <v>211</v>
      </c>
      <c r="D723" s="6" t="s">
        <v>108</v>
      </c>
      <c r="E723" s="6" t="s">
        <v>32</v>
      </c>
      <c r="F723" s="6" t="s">
        <v>165</v>
      </c>
      <c r="G723" s="11">
        <f>'5'!D58</f>
        <v>150</v>
      </c>
      <c r="H723" s="11">
        <f>'5'!E58</f>
        <v>200</v>
      </c>
      <c r="I723" s="11">
        <f>'5'!F58</f>
        <v>200</v>
      </c>
    </row>
    <row r="724" spans="1:10" ht="50.25" customHeight="1" x14ac:dyDescent="0.25">
      <c r="A724" s="254" t="s">
        <v>793</v>
      </c>
      <c r="B724" s="3" t="s">
        <v>225</v>
      </c>
      <c r="C724" s="4" t="s">
        <v>211</v>
      </c>
      <c r="D724" s="4" t="s">
        <v>108</v>
      </c>
      <c r="E724" s="4" t="s">
        <v>438</v>
      </c>
      <c r="F724" s="4" t="s">
        <v>222</v>
      </c>
      <c r="G724" s="11">
        <f t="shared" ref="G724:I725" si="151">G725</f>
        <v>305</v>
      </c>
      <c r="H724" s="11">
        <f t="shared" si="151"/>
        <v>0</v>
      </c>
      <c r="I724" s="11">
        <f t="shared" si="151"/>
        <v>0</v>
      </c>
    </row>
    <row r="725" spans="1:10" ht="48" customHeight="1" x14ac:dyDescent="0.25">
      <c r="A725" s="254" t="s">
        <v>715</v>
      </c>
      <c r="B725" s="3" t="s">
        <v>225</v>
      </c>
      <c r="C725" s="4" t="s">
        <v>211</v>
      </c>
      <c r="D725" s="4" t="s">
        <v>108</v>
      </c>
      <c r="E725" s="4" t="s">
        <v>438</v>
      </c>
      <c r="F725" s="4" t="s">
        <v>714</v>
      </c>
      <c r="G725" s="11">
        <f t="shared" si="151"/>
        <v>305</v>
      </c>
      <c r="H725" s="11">
        <f t="shared" si="151"/>
        <v>0</v>
      </c>
      <c r="I725" s="11">
        <f t="shared" si="151"/>
        <v>0</v>
      </c>
    </row>
    <row r="726" spans="1:10" ht="19.899999999999999" customHeight="1" x14ac:dyDescent="0.25">
      <c r="A726" s="254" t="s">
        <v>116</v>
      </c>
      <c r="B726" s="3" t="s">
        <v>225</v>
      </c>
      <c r="C726" s="4" t="s">
        <v>211</v>
      </c>
      <c r="D726" s="4" t="s">
        <v>108</v>
      </c>
      <c r="E726" s="4" t="s">
        <v>438</v>
      </c>
      <c r="F726" s="4" t="s">
        <v>165</v>
      </c>
      <c r="G726" s="11">
        <f>'5'!D60</f>
        <v>305</v>
      </c>
      <c r="H726" s="11">
        <f>'5'!E60</f>
        <v>0</v>
      </c>
      <c r="I726" s="11">
        <f>'5'!F60</f>
        <v>0</v>
      </c>
    </row>
    <row r="727" spans="1:10" ht="108" customHeight="1" x14ac:dyDescent="0.25">
      <c r="A727" s="277" t="s">
        <v>792</v>
      </c>
      <c r="B727" s="17" t="s">
        <v>225</v>
      </c>
      <c r="C727" s="6" t="s">
        <v>211</v>
      </c>
      <c r="D727" s="6" t="s">
        <v>108</v>
      </c>
      <c r="E727" s="6" t="s">
        <v>791</v>
      </c>
      <c r="F727" s="6" t="s">
        <v>222</v>
      </c>
      <c r="G727" s="13">
        <f t="shared" ref="G727:I728" si="152">G728</f>
        <v>50903.967669999998</v>
      </c>
      <c r="H727" s="13">
        <f t="shared" si="152"/>
        <v>35288.356</v>
      </c>
      <c r="I727" s="13">
        <f t="shared" si="152"/>
        <v>35288.356</v>
      </c>
    </row>
    <row r="728" spans="1:10" ht="45" x14ac:dyDescent="0.25">
      <c r="A728" s="255" t="s">
        <v>715</v>
      </c>
      <c r="B728" s="17" t="s">
        <v>225</v>
      </c>
      <c r="C728" s="6" t="s">
        <v>211</v>
      </c>
      <c r="D728" s="6" t="s">
        <v>108</v>
      </c>
      <c r="E728" s="6" t="s">
        <v>791</v>
      </c>
      <c r="F728" s="4" t="s">
        <v>714</v>
      </c>
      <c r="G728" s="11">
        <f t="shared" si="152"/>
        <v>50903.967669999998</v>
      </c>
      <c r="H728" s="11">
        <f t="shared" si="152"/>
        <v>35288.356</v>
      </c>
      <c r="I728" s="13">
        <f t="shared" si="152"/>
        <v>35288.356</v>
      </c>
    </row>
    <row r="729" spans="1:10" ht="18.75" customHeight="1" x14ac:dyDescent="0.25">
      <c r="A729" s="255" t="s">
        <v>116</v>
      </c>
      <c r="B729" s="17" t="s">
        <v>225</v>
      </c>
      <c r="C729" s="6" t="s">
        <v>211</v>
      </c>
      <c r="D729" s="6" t="s">
        <v>108</v>
      </c>
      <c r="E729" s="6" t="s">
        <v>33</v>
      </c>
      <c r="F729" s="4" t="s">
        <v>165</v>
      </c>
      <c r="G729" s="11">
        <f>'5'!D62+'5'!D63</f>
        <v>50903.967669999998</v>
      </c>
      <c r="H729" s="11">
        <f>'5'!E62</f>
        <v>35288.356</v>
      </c>
      <c r="I729" s="11">
        <f>'5'!F62</f>
        <v>35288.356</v>
      </c>
    </row>
    <row r="730" spans="1:10" ht="95.25" customHeight="1" x14ac:dyDescent="0.25">
      <c r="A730" s="277" t="s">
        <v>796</v>
      </c>
      <c r="B730" s="17" t="s">
        <v>225</v>
      </c>
      <c r="C730" s="6" t="s">
        <v>211</v>
      </c>
      <c r="D730" s="17" t="s">
        <v>108</v>
      </c>
      <c r="E730" s="6" t="s">
        <v>34</v>
      </c>
      <c r="F730" s="4" t="s">
        <v>222</v>
      </c>
      <c r="G730" s="11">
        <f t="shared" ref="G730:I731" si="153">G731</f>
        <v>51964.42</v>
      </c>
      <c r="H730" s="11">
        <f t="shared" si="153"/>
        <v>55123.663999999997</v>
      </c>
      <c r="I730" s="13">
        <f t="shared" si="153"/>
        <v>58333.048000000003</v>
      </c>
    </row>
    <row r="731" spans="1:10" ht="48.75" customHeight="1" x14ac:dyDescent="0.25">
      <c r="A731" s="255" t="s">
        <v>715</v>
      </c>
      <c r="B731" s="17" t="s">
        <v>225</v>
      </c>
      <c r="C731" s="6" t="s">
        <v>211</v>
      </c>
      <c r="D731" s="6" t="s">
        <v>108</v>
      </c>
      <c r="E731" s="6" t="s">
        <v>34</v>
      </c>
      <c r="F731" s="6" t="s">
        <v>714</v>
      </c>
      <c r="G731" s="13">
        <f t="shared" si="153"/>
        <v>51964.42</v>
      </c>
      <c r="H731" s="13">
        <f t="shared" si="153"/>
        <v>55123.663999999997</v>
      </c>
      <c r="I731" s="13">
        <f t="shared" si="153"/>
        <v>58333.048000000003</v>
      </c>
    </row>
    <row r="732" spans="1:10" ht="20.25" customHeight="1" x14ac:dyDescent="0.25">
      <c r="A732" s="255" t="s">
        <v>124</v>
      </c>
      <c r="B732" s="17" t="s">
        <v>225</v>
      </c>
      <c r="C732" s="6" t="s">
        <v>211</v>
      </c>
      <c r="D732" s="6" t="s">
        <v>108</v>
      </c>
      <c r="E732" s="6" t="s">
        <v>34</v>
      </c>
      <c r="F732" s="6" t="s">
        <v>165</v>
      </c>
      <c r="G732" s="13">
        <f>'5'!D64</f>
        <v>51964.42</v>
      </c>
      <c r="H732" s="13">
        <f>'5'!E64</f>
        <v>55123.663999999997</v>
      </c>
      <c r="I732" s="13">
        <f>'5'!F64</f>
        <v>58333.048000000003</v>
      </c>
      <c r="J732" s="13" t="e">
        <f>'5'!#REF!</f>
        <v>#REF!</v>
      </c>
    </row>
    <row r="733" spans="1:10" ht="31.5" hidden="1" customHeight="1" x14ac:dyDescent="0.25">
      <c r="A733" s="277" t="s">
        <v>794</v>
      </c>
      <c r="B733" s="17" t="s">
        <v>225</v>
      </c>
      <c r="C733" s="6" t="s">
        <v>211</v>
      </c>
      <c r="D733" s="6" t="s">
        <v>108</v>
      </c>
      <c r="E733" s="18" t="s">
        <v>666</v>
      </c>
      <c r="F733" s="18" t="s">
        <v>222</v>
      </c>
      <c r="G733" s="21">
        <f>G734+G737</f>
        <v>0</v>
      </c>
      <c r="H733" s="21">
        <f>H734+H737</f>
        <v>0</v>
      </c>
      <c r="I733" s="21">
        <f>I734+I737</f>
        <v>0</v>
      </c>
    </row>
    <row r="734" spans="1:10" ht="33" hidden="1" customHeight="1" x14ac:dyDescent="0.25">
      <c r="A734" s="255" t="s">
        <v>795</v>
      </c>
      <c r="B734" s="17" t="s">
        <v>225</v>
      </c>
      <c r="C734" s="6" t="s">
        <v>211</v>
      </c>
      <c r="D734" s="6" t="s">
        <v>108</v>
      </c>
      <c r="E734" s="6" t="s">
        <v>320</v>
      </c>
      <c r="F734" s="6" t="s">
        <v>222</v>
      </c>
      <c r="G734" s="13">
        <f t="shared" ref="G734:I735" si="154">G735</f>
        <v>0</v>
      </c>
      <c r="H734" s="13">
        <f t="shared" si="154"/>
        <v>0</v>
      </c>
      <c r="I734" s="13">
        <f t="shared" si="154"/>
        <v>0</v>
      </c>
    </row>
    <row r="735" spans="1:10" ht="47.25" hidden="1" customHeight="1" x14ac:dyDescent="0.25">
      <c r="A735" s="255" t="s">
        <v>715</v>
      </c>
      <c r="B735" s="17" t="s">
        <v>225</v>
      </c>
      <c r="C735" s="6" t="s">
        <v>211</v>
      </c>
      <c r="D735" s="6" t="s">
        <v>108</v>
      </c>
      <c r="E735" s="6" t="s">
        <v>320</v>
      </c>
      <c r="F735" s="6" t="s">
        <v>714</v>
      </c>
      <c r="G735" s="13">
        <f t="shared" si="154"/>
        <v>0</v>
      </c>
      <c r="H735" s="13">
        <f t="shared" si="154"/>
        <v>0</v>
      </c>
      <c r="I735" s="13">
        <f t="shared" si="154"/>
        <v>0</v>
      </c>
    </row>
    <row r="736" spans="1:10" ht="22.5" hidden="1" customHeight="1" x14ac:dyDescent="0.25">
      <c r="A736" s="255" t="s">
        <v>124</v>
      </c>
      <c r="B736" s="17" t="s">
        <v>225</v>
      </c>
      <c r="C736" s="6" t="s">
        <v>211</v>
      </c>
      <c r="D736" s="6" t="s">
        <v>108</v>
      </c>
      <c r="E736" s="6" t="s">
        <v>320</v>
      </c>
      <c r="F736" s="6" t="s">
        <v>165</v>
      </c>
      <c r="G736" s="13"/>
      <c r="H736" s="13"/>
      <c r="I736" s="13"/>
    </row>
    <row r="737" spans="1:10" ht="33" hidden="1" customHeight="1" x14ac:dyDescent="0.25">
      <c r="A737" s="277" t="s">
        <v>978</v>
      </c>
      <c r="B737" s="17" t="s">
        <v>225</v>
      </c>
      <c r="C737" s="6" t="s">
        <v>211</v>
      </c>
      <c r="D737" s="6" t="s">
        <v>108</v>
      </c>
      <c r="E737" s="195" t="s">
        <v>6</v>
      </c>
      <c r="F737" s="18" t="s">
        <v>222</v>
      </c>
      <c r="G737" s="15">
        <f t="shared" ref="G737:I738" si="155">G738</f>
        <v>0</v>
      </c>
      <c r="H737" s="15">
        <f t="shared" si="155"/>
        <v>0</v>
      </c>
      <c r="I737" s="15">
        <f t="shared" si="155"/>
        <v>0</v>
      </c>
    </row>
    <row r="738" spans="1:10" ht="50.25" hidden="1" customHeight="1" x14ac:dyDescent="0.25">
      <c r="A738" s="255" t="s">
        <v>715</v>
      </c>
      <c r="B738" s="17" t="s">
        <v>225</v>
      </c>
      <c r="C738" s="6" t="s">
        <v>211</v>
      </c>
      <c r="D738" s="6" t="s">
        <v>108</v>
      </c>
      <c r="E738" s="50" t="s">
        <v>6</v>
      </c>
      <c r="F738" s="6" t="s">
        <v>714</v>
      </c>
      <c r="G738" s="13">
        <f t="shared" si="155"/>
        <v>0</v>
      </c>
      <c r="H738" s="13">
        <f t="shared" si="155"/>
        <v>0</v>
      </c>
      <c r="I738" s="13">
        <f t="shared" si="155"/>
        <v>0</v>
      </c>
    </row>
    <row r="739" spans="1:10" ht="22.5" hidden="1" customHeight="1" x14ac:dyDescent="0.25">
      <c r="A739" s="255" t="s">
        <v>124</v>
      </c>
      <c r="B739" s="17" t="s">
        <v>225</v>
      </c>
      <c r="C739" s="6" t="s">
        <v>211</v>
      </c>
      <c r="D739" s="6" t="s">
        <v>108</v>
      </c>
      <c r="E739" s="50" t="s">
        <v>6</v>
      </c>
      <c r="F739" s="6" t="s">
        <v>165</v>
      </c>
      <c r="G739" s="13"/>
      <c r="H739" s="13"/>
      <c r="I739" s="13"/>
    </row>
    <row r="740" spans="1:10" ht="34.15" hidden="1" customHeight="1" x14ac:dyDescent="0.25">
      <c r="A740" s="255" t="s">
        <v>669</v>
      </c>
      <c r="B740" s="17" t="s">
        <v>225</v>
      </c>
      <c r="C740" s="6" t="s">
        <v>211</v>
      </c>
      <c r="D740" s="6" t="s">
        <v>108</v>
      </c>
      <c r="E740" s="6" t="s">
        <v>5</v>
      </c>
      <c r="F740" s="6" t="s">
        <v>222</v>
      </c>
      <c r="G740" s="13">
        <f>G741</f>
        <v>0</v>
      </c>
      <c r="H740" s="13">
        <f t="shared" ref="H740:I743" si="156">H741</f>
        <v>0</v>
      </c>
      <c r="I740" s="13">
        <f t="shared" si="156"/>
        <v>0</v>
      </c>
    </row>
    <row r="741" spans="1:10" ht="48.6" hidden="1" customHeight="1" x14ac:dyDescent="0.25">
      <c r="A741" s="255" t="s">
        <v>110</v>
      </c>
      <c r="B741" s="17" t="s">
        <v>225</v>
      </c>
      <c r="C741" s="6" t="s">
        <v>211</v>
      </c>
      <c r="D741" s="6" t="s">
        <v>108</v>
      </c>
      <c r="E741" s="6" t="s">
        <v>6</v>
      </c>
      <c r="F741" s="6" t="s">
        <v>222</v>
      </c>
      <c r="G741" s="13">
        <f>G742</f>
        <v>0</v>
      </c>
      <c r="H741" s="13">
        <f t="shared" si="156"/>
        <v>0</v>
      </c>
      <c r="I741" s="13">
        <f t="shared" si="156"/>
        <v>0</v>
      </c>
    </row>
    <row r="742" spans="1:10" ht="32.450000000000003" hidden="1" customHeight="1" x14ac:dyDescent="0.25">
      <c r="A742" s="274" t="s">
        <v>349</v>
      </c>
      <c r="B742" s="17" t="s">
        <v>225</v>
      </c>
      <c r="C742" s="6" t="s">
        <v>211</v>
      </c>
      <c r="D742" s="6" t="s">
        <v>108</v>
      </c>
      <c r="E742" s="6" t="s">
        <v>320</v>
      </c>
      <c r="F742" s="6" t="s">
        <v>222</v>
      </c>
      <c r="G742" s="13">
        <f>G743</f>
        <v>0</v>
      </c>
      <c r="H742" s="13">
        <f t="shared" si="156"/>
        <v>0</v>
      </c>
      <c r="I742" s="13">
        <f t="shared" si="156"/>
        <v>0</v>
      </c>
    </row>
    <row r="743" spans="1:10" ht="43.15" hidden="1" customHeight="1" x14ac:dyDescent="0.25">
      <c r="A743" s="255" t="s">
        <v>715</v>
      </c>
      <c r="B743" s="17" t="s">
        <v>225</v>
      </c>
      <c r="C743" s="6" t="s">
        <v>211</v>
      </c>
      <c r="D743" s="6" t="s">
        <v>108</v>
      </c>
      <c r="E743" s="6" t="s">
        <v>320</v>
      </c>
      <c r="F743" s="6" t="s">
        <v>714</v>
      </c>
      <c r="G743" s="13">
        <f>G744</f>
        <v>0</v>
      </c>
      <c r="H743" s="13">
        <f t="shared" si="156"/>
        <v>0</v>
      </c>
      <c r="I743" s="13">
        <f t="shared" si="156"/>
        <v>0</v>
      </c>
    </row>
    <row r="744" spans="1:10" ht="25.15" hidden="1" customHeight="1" x14ac:dyDescent="0.25">
      <c r="A744" s="255" t="s">
        <v>124</v>
      </c>
      <c r="B744" s="17" t="s">
        <v>225</v>
      </c>
      <c r="C744" s="6" t="s">
        <v>211</v>
      </c>
      <c r="D744" s="6" t="s">
        <v>108</v>
      </c>
      <c r="E744" s="6" t="s">
        <v>320</v>
      </c>
      <c r="F744" s="6" t="s">
        <v>165</v>
      </c>
      <c r="G744" s="13"/>
      <c r="H744" s="13"/>
      <c r="I744" s="13"/>
    </row>
    <row r="745" spans="1:10" ht="20.25" customHeight="1" x14ac:dyDescent="0.25">
      <c r="A745" s="301" t="s">
        <v>799</v>
      </c>
      <c r="B745" s="179" t="s">
        <v>225</v>
      </c>
      <c r="C745" s="180" t="s">
        <v>211</v>
      </c>
      <c r="D745" s="180" t="s">
        <v>668</v>
      </c>
      <c r="E745" s="180" t="s">
        <v>666</v>
      </c>
      <c r="F745" s="180" t="s">
        <v>222</v>
      </c>
      <c r="G745" s="181">
        <f>G746+G795+G810+G807+G813</f>
        <v>465863.97540000005</v>
      </c>
      <c r="H745" s="181">
        <f>H746+H795+H810+H807</f>
        <v>357725.46946000005</v>
      </c>
      <c r="I745" s="181">
        <f>I746+I795+I810+I807</f>
        <v>362575.96680999995</v>
      </c>
      <c r="J745" s="7">
        <v>314799.30599999998</v>
      </c>
    </row>
    <row r="746" spans="1:10" ht="48" customHeight="1" x14ac:dyDescent="0.25">
      <c r="A746" s="277" t="s">
        <v>724</v>
      </c>
      <c r="B746" s="42" t="s">
        <v>225</v>
      </c>
      <c r="C746" s="18" t="s">
        <v>211</v>
      </c>
      <c r="D746" s="18" t="s">
        <v>668</v>
      </c>
      <c r="E746" s="18" t="s">
        <v>22</v>
      </c>
      <c r="F746" s="18" t="s">
        <v>222</v>
      </c>
      <c r="G746" s="15">
        <f>G747+G782+G789+G816</f>
        <v>165090.28320000001</v>
      </c>
      <c r="H746" s="15">
        <f>H747+H782+H789+H816</f>
        <v>65756.172820000007</v>
      </c>
      <c r="I746" s="15">
        <f>I747+I782+I789+I816</f>
        <v>53753.117010000009</v>
      </c>
      <c r="J746" s="45">
        <f>J745-G745</f>
        <v>-151064.66940000007</v>
      </c>
    </row>
    <row r="747" spans="1:10" ht="52.5" customHeight="1" x14ac:dyDescent="0.25">
      <c r="A747" s="274" t="s">
        <v>882</v>
      </c>
      <c r="B747" s="17" t="s">
        <v>225</v>
      </c>
      <c r="C747" s="6" t="s">
        <v>211</v>
      </c>
      <c r="D747" s="6" t="s">
        <v>668</v>
      </c>
      <c r="E747" s="6" t="s">
        <v>35</v>
      </c>
      <c r="F747" s="6" t="s">
        <v>222</v>
      </c>
      <c r="G747" s="11">
        <f>G748+G751+G758+G755+G761+G768+G775</f>
        <v>146105.51010000001</v>
      </c>
      <c r="H747" s="13">
        <f t="shared" ref="H747:I747" si="157">H748+H751+H758+H755+H761+H768+H775</f>
        <v>36503.372820000004</v>
      </c>
      <c r="I747" s="13">
        <f t="shared" si="157"/>
        <v>24847.117010000009</v>
      </c>
    </row>
    <row r="748" spans="1:10" ht="33" customHeight="1" x14ac:dyDescent="0.25">
      <c r="A748" s="255" t="s">
        <v>141</v>
      </c>
      <c r="B748" s="17" t="s">
        <v>225</v>
      </c>
      <c r="C748" s="6" t="s">
        <v>211</v>
      </c>
      <c r="D748" s="6" t="s">
        <v>668</v>
      </c>
      <c r="E748" s="6" t="s">
        <v>36</v>
      </c>
      <c r="F748" s="6" t="s">
        <v>222</v>
      </c>
      <c r="G748" s="11">
        <f t="shared" ref="G748:I749" si="158">G749</f>
        <v>2999.4554000000007</v>
      </c>
      <c r="H748" s="13">
        <f t="shared" si="158"/>
        <v>500</v>
      </c>
      <c r="I748" s="13">
        <f t="shared" si="158"/>
        <v>500</v>
      </c>
    </row>
    <row r="749" spans="1:10" ht="48.75" customHeight="1" x14ac:dyDescent="0.25">
      <c r="A749" s="255" t="s">
        <v>715</v>
      </c>
      <c r="B749" s="17" t="s">
        <v>225</v>
      </c>
      <c r="C749" s="6" t="s">
        <v>211</v>
      </c>
      <c r="D749" s="6" t="s">
        <v>668</v>
      </c>
      <c r="E749" s="6" t="s">
        <v>36</v>
      </c>
      <c r="F749" s="6" t="s">
        <v>714</v>
      </c>
      <c r="G749" s="11">
        <f t="shared" si="158"/>
        <v>2999.4554000000007</v>
      </c>
      <c r="H749" s="13">
        <f t="shared" si="158"/>
        <v>500</v>
      </c>
      <c r="I749" s="13">
        <f t="shared" si="158"/>
        <v>500</v>
      </c>
    </row>
    <row r="750" spans="1:10" ht="21" customHeight="1" x14ac:dyDescent="0.25">
      <c r="A750" s="254" t="s">
        <v>124</v>
      </c>
      <c r="B750" s="3" t="s">
        <v>225</v>
      </c>
      <c r="C750" s="4" t="s">
        <v>211</v>
      </c>
      <c r="D750" s="4" t="s">
        <v>668</v>
      </c>
      <c r="E750" s="4" t="s">
        <v>37</v>
      </c>
      <c r="F750" s="4" t="s">
        <v>165</v>
      </c>
      <c r="G750" s="11">
        <f>'5'!D15</f>
        <v>2999.4554000000007</v>
      </c>
      <c r="H750" s="11">
        <f>'5'!E15</f>
        <v>500</v>
      </c>
      <c r="I750" s="11">
        <f>'5'!F15</f>
        <v>500</v>
      </c>
    </row>
    <row r="751" spans="1:10" ht="95.25" customHeight="1" x14ac:dyDescent="0.25">
      <c r="A751" s="254" t="s">
        <v>801</v>
      </c>
      <c r="B751" s="3" t="s">
        <v>225</v>
      </c>
      <c r="C751" s="4" t="s">
        <v>211</v>
      </c>
      <c r="D751" s="4" t="s">
        <v>668</v>
      </c>
      <c r="E751" s="4" t="s">
        <v>36</v>
      </c>
      <c r="F751" s="4" t="s">
        <v>222</v>
      </c>
      <c r="G751" s="11">
        <f t="shared" ref="G751:I752" si="159">G752</f>
        <v>133900.21566000002</v>
      </c>
      <c r="H751" s="11">
        <f t="shared" si="159"/>
        <v>36003.372820000004</v>
      </c>
      <c r="I751" s="11">
        <f t="shared" si="159"/>
        <v>24347.117010000009</v>
      </c>
    </row>
    <row r="752" spans="1:10" ht="48" customHeight="1" x14ac:dyDescent="0.25">
      <c r="A752" s="254" t="s">
        <v>715</v>
      </c>
      <c r="B752" s="3" t="s">
        <v>225</v>
      </c>
      <c r="C752" s="4" t="s">
        <v>211</v>
      </c>
      <c r="D752" s="4" t="s">
        <v>668</v>
      </c>
      <c r="E752" s="4" t="s">
        <v>36</v>
      </c>
      <c r="F752" s="4" t="s">
        <v>714</v>
      </c>
      <c r="G752" s="11">
        <f t="shared" si="159"/>
        <v>133900.21566000002</v>
      </c>
      <c r="H752" s="11">
        <f t="shared" si="159"/>
        <v>36003.372820000004</v>
      </c>
      <c r="I752" s="11">
        <f t="shared" si="159"/>
        <v>24347.117010000009</v>
      </c>
    </row>
    <row r="753" spans="1:10" ht="22.9" customHeight="1" x14ac:dyDescent="0.25">
      <c r="A753" s="254" t="s">
        <v>124</v>
      </c>
      <c r="B753" s="3" t="s">
        <v>225</v>
      </c>
      <c r="C753" s="4" t="s">
        <v>211</v>
      </c>
      <c r="D753" s="4" t="s">
        <v>668</v>
      </c>
      <c r="E753" s="4" t="s">
        <v>38</v>
      </c>
      <c r="F753" s="4" t="s">
        <v>165</v>
      </c>
      <c r="G753" s="11">
        <f>'5'!D47+'5'!D48</f>
        <v>133900.21566000002</v>
      </c>
      <c r="H753" s="11">
        <f>'5'!E47</f>
        <v>36003.372820000004</v>
      </c>
      <c r="I753" s="11">
        <f>'5'!F47</f>
        <v>24347.117010000009</v>
      </c>
      <c r="J753" s="11" t="e">
        <f>'5'!#REF!</f>
        <v>#REF!</v>
      </c>
    </row>
    <row r="754" spans="1:10" hidden="1" x14ac:dyDescent="0.25">
      <c r="A754" s="254"/>
      <c r="B754" s="3" t="s">
        <v>225</v>
      </c>
      <c r="C754" s="4" t="s">
        <v>211</v>
      </c>
      <c r="D754" s="4" t="s">
        <v>668</v>
      </c>
      <c r="E754" s="4" t="s">
        <v>38</v>
      </c>
      <c r="F754" s="4" t="s">
        <v>165</v>
      </c>
      <c r="G754" s="11"/>
      <c r="H754" s="11"/>
      <c r="I754" s="11"/>
    </row>
    <row r="755" spans="1:10" ht="90" hidden="1" x14ac:dyDescent="0.25">
      <c r="A755" s="254" t="s">
        <v>384</v>
      </c>
      <c r="B755" s="3" t="s">
        <v>225</v>
      </c>
      <c r="C755" s="4" t="s">
        <v>211</v>
      </c>
      <c r="D755" s="4" t="s">
        <v>668</v>
      </c>
      <c r="E755" s="4" t="s">
        <v>378</v>
      </c>
      <c r="F755" s="4" t="s">
        <v>222</v>
      </c>
      <c r="G755" s="11">
        <f t="shared" ref="G755:I756" si="160">G756</f>
        <v>0</v>
      </c>
      <c r="H755" s="11">
        <f t="shared" si="160"/>
        <v>0</v>
      </c>
      <c r="I755" s="11">
        <f t="shared" si="160"/>
        <v>0</v>
      </c>
    </row>
    <row r="756" spans="1:10" ht="45" hidden="1" x14ac:dyDescent="0.25">
      <c r="A756" s="254" t="s">
        <v>715</v>
      </c>
      <c r="B756" s="3" t="s">
        <v>225</v>
      </c>
      <c r="C756" s="4" t="s">
        <v>211</v>
      </c>
      <c r="D756" s="4" t="s">
        <v>668</v>
      </c>
      <c r="E756" s="4" t="s">
        <v>378</v>
      </c>
      <c r="F756" s="4" t="s">
        <v>714</v>
      </c>
      <c r="G756" s="11">
        <f t="shared" si="160"/>
        <v>0</v>
      </c>
      <c r="H756" s="11">
        <f t="shared" si="160"/>
        <v>0</v>
      </c>
      <c r="I756" s="11">
        <f t="shared" si="160"/>
        <v>0</v>
      </c>
    </row>
    <row r="757" spans="1:10" ht="21.75" hidden="1" customHeight="1" x14ac:dyDescent="0.25">
      <c r="A757" s="254" t="s">
        <v>124</v>
      </c>
      <c r="B757" s="3" t="s">
        <v>225</v>
      </c>
      <c r="C757" s="4" t="s">
        <v>211</v>
      </c>
      <c r="D757" s="4" t="s">
        <v>668</v>
      </c>
      <c r="E757" s="4" t="s">
        <v>378</v>
      </c>
      <c r="F757" s="4" t="s">
        <v>165</v>
      </c>
      <c r="G757" s="11"/>
      <c r="H757" s="11"/>
      <c r="I757" s="11"/>
    </row>
    <row r="758" spans="1:10" ht="50.25" customHeight="1" x14ac:dyDescent="0.25">
      <c r="A758" s="254" t="s">
        <v>802</v>
      </c>
      <c r="B758" s="3" t="s">
        <v>225</v>
      </c>
      <c r="C758" s="4" t="s">
        <v>211</v>
      </c>
      <c r="D758" s="4" t="s">
        <v>668</v>
      </c>
      <c r="E758" s="4" t="s">
        <v>437</v>
      </c>
      <c r="F758" s="4" t="s">
        <v>222</v>
      </c>
      <c r="G758" s="11">
        <f>G760</f>
        <v>935</v>
      </c>
      <c r="H758" s="11">
        <f>H760</f>
        <v>0</v>
      </c>
      <c r="I758" s="11">
        <f>I760</f>
        <v>0</v>
      </c>
    </row>
    <row r="759" spans="1:10" ht="49.5" customHeight="1" x14ac:dyDescent="0.25">
      <c r="A759" s="254" t="s">
        <v>715</v>
      </c>
      <c r="B759" s="3" t="s">
        <v>225</v>
      </c>
      <c r="C759" s="4" t="s">
        <v>211</v>
      </c>
      <c r="D759" s="4" t="s">
        <v>668</v>
      </c>
      <c r="E759" s="4" t="s">
        <v>437</v>
      </c>
      <c r="F759" s="4" t="s">
        <v>714</v>
      </c>
      <c r="G759" s="11">
        <f>G760</f>
        <v>935</v>
      </c>
      <c r="H759" s="11">
        <f>H760</f>
        <v>0</v>
      </c>
      <c r="I759" s="11">
        <f>I760</f>
        <v>0</v>
      </c>
    </row>
    <row r="760" spans="1:10" ht="22.9" customHeight="1" x14ac:dyDescent="0.25">
      <c r="A760" s="254" t="s">
        <v>124</v>
      </c>
      <c r="B760" s="3" t="s">
        <v>225</v>
      </c>
      <c r="C760" s="4" t="s">
        <v>211</v>
      </c>
      <c r="D760" s="4" t="s">
        <v>668</v>
      </c>
      <c r="E760" s="4" t="s">
        <v>437</v>
      </c>
      <c r="F760" s="4" t="s">
        <v>165</v>
      </c>
      <c r="G760" s="11">
        <f>'5'!D20</f>
        <v>935</v>
      </c>
      <c r="H760" s="11">
        <f>'5'!E20</f>
        <v>0</v>
      </c>
      <c r="I760" s="11">
        <f>'5'!F20</f>
        <v>0</v>
      </c>
    </row>
    <row r="761" spans="1:10" ht="48" customHeight="1" x14ac:dyDescent="0.25">
      <c r="A761" s="266" t="s">
        <v>486</v>
      </c>
      <c r="B761" s="19" t="s">
        <v>225</v>
      </c>
      <c r="C761" s="20" t="s">
        <v>211</v>
      </c>
      <c r="D761" s="20" t="s">
        <v>668</v>
      </c>
      <c r="E761" s="20" t="s">
        <v>35</v>
      </c>
      <c r="F761" s="20" t="s">
        <v>222</v>
      </c>
      <c r="G761" s="21">
        <f>G765+G763</f>
        <v>8.9059999999999953</v>
      </c>
      <c r="H761" s="21">
        <f>H765+H763</f>
        <v>0</v>
      </c>
      <c r="I761" s="21">
        <f>I765+I763</f>
        <v>0</v>
      </c>
    </row>
    <row r="762" spans="1:10" ht="45" hidden="1" x14ac:dyDescent="0.25">
      <c r="A762" s="255" t="s">
        <v>478</v>
      </c>
      <c r="B762" s="17" t="s">
        <v>225</v>
      </c>
      <c r="C762" s="6" t="s">
        <v>211</v>
      </c>
      <c r="D762" s="6" t="s">
        <v>668</v>
      </c>
      <c r="E762" s="6" t="s">
        <v>479</v>
      </c>
      <c r="F762" s="6" t="s">
        <v>222</v>
      </c>
      <c r="G762" s="13">
        <f t="shared" ref="G762:I763" si="161">G763</f>
        <v>0</v>
      </c>
      <c r="H762" s="13">
        <f t="shared" si="161"/>
        <v>0</v>
      </c>
      <c r="I762" s="13">
        <f t="shared" si="161"/>
        <v>0</v>
      </c>
    </row>
    <row r="763" spans="1:10" ht="45" hidden="1" x14ac:dyDescent="0.25">
      <c r="A763" s="255" t="s">
        <v>715</v>
      </c>
      <c r="B763" s="17" t="s">
        <v>225</v>
      </c>
      <c r="C763" s="6" t="s">
        <v>211</v>
      </c>
      <c r="D763" s="6" t="s">
        <v>668</v>
      </c>
      <c r="E763" s="6" t="s">
        <v>479</v>
      </c>
      <c r="F763" s="6" t="s">
        <v>714</v>
      </c>
      <c r="G763" s="13">
        <f t="shared" si="161"/>
        <v>0</v>
      </c>
      <c r="H763" s="13">
        <f t="shared" si="161"/>
        <v>0</v>
      </c>
      <c r="I763" s="13">
        <f t="shared" si="161"/>
        <v>0</v>
      </c>
    </row>
    <row r="764" spans="1:10" hidden="1" x14ac:dyDescent="0.25">
      <c r="A764" s="255" t="s">
        <v>124</v>
      </c>
      <c r="B764" s="17" t="s">
        <v>225</v>
      </c>
      <c r="C764" s="6" t="s">
        <v>211</v>
      </c>
      <c r="D764" s="6" t="s">
        <v>668</v>
      </c>
      <c r="E764" s="6" t="s">
        <v>479</v>
      </c>
      <c r="F764" s="6" t="s">
        <v>165</v>
      </c>
      <c r="G764" s="13">
        <v>0</v>
      </c>
      <c r="H764" s="13">
        <v>0</v>
      </c>
      <c r="I764" s="13">
        <v>0</v>
      </c>
    </row>
    <row r="765" spans="1:10" ht="81.75" customHeight="1" x14ac:dyDescent="0.25">
      <c r="A765" s="255" t="s">
        <v>423</v>
      </c>
      <c r="B765" s="17" t="s">
        <v>225</v>
      </c>
      <c r="C765" s="6" t="s">
        <v>211</v>
      </c>
      <c r="D765" s="6" t="s">
        <v>668</v>
      </c>
      <c r="E765" s="17" t="s">
        <v>579</v>
      </c>
      <c r="F765" s="6" t="s">
        <v>222</v>
      </c>
      <c r="G765" s="11">
        <f t="shared" ref="G765:I766" si="162">G766</f>
        <v>8.9059999999999953</v>
      </c>
      <c r="H765" s="13">
        <f t="shared" si="162"/>
        <v>0</v>
      </c>
      <c r="I765" s="13">
        <f t="shared" si="162"/>
        <v>0</v>
      </c>
    </row>
    <row r="766" spans="1:10" ht="51.75" customHeight="1" x14ac:dyDescent="0.25">
      <c r="A766" s="255" t="s">
        <v>715</v>
      </c>
      <c r="B766" s="17" t="s">
        <v>225</v>
      </c>
      <c r="C766" s="6" t="s">
        <v>211</v>
      </c>
      <c r="D766" s="6" t="s">
        <v>668</v>
      </c>
      <c r="E766" s="17" t="s">
        <v>579</v>
      </c>
      <c r="F766" s="6" t="s">
        <v>714</v>
      </c>
      <c r="G766" s="11">
        <f t="shared" si="162"/>
        <v>8.9059999999999953</v>
      </c>
      <c r="H766" s="13">
        <f t="shared" si="162"/>
        <v>0</v>
      </c>
      <c r="I766" s="13">
        <f t="shared" si="162"/>
        <v>0</v>
      </c>
    </row>
    <row r="767" spans="1:10" x14ac:dyDescent="0.25">
      <c r="A767" s="255" t="s">
        <v>124</v>
      </c>
      <c r="B767" s="17" t="s">
        <v>225</v>
      </c>
      <c r="C767" s="6" t="s">
        <v>211</v>
      </c>
      <c r="D767" s="6" t="s">
        <v>668</v>
      </c>
      <c r="E767" s="17" t="s">
        <v>579</v>
      </c>
      <c r="F767" s="6" t="s">
        <v>165</v>
      </c>
      <c r="G767" s="11">
        <f>'5'!D27</f>
        <v>8.9059999999999953</v>
      </c>
      <c r="H767" s="11">
        <f>'5'!E27</f>
        <v>0</v>
      </c>
      <c r="I767" s="11">
        <f>'5'!F27</f>
        <v>0</v>
      </c>
      <c r="J767" s="11" t="e">
        <f>'5'!#REF!</f>
        <v>#REF!</v>
      </c>
    </row>
    <row r="768" spans="1:10" ht="42.75" x14ac:dyDescent="0.25">
      <c r="A768" s="261" t="s">
        <v>533</v>
      </c>
      <c r="B768" s="86" t="s">
        <v>225</v>
      </c>
      <c r="C768" s="85" t="s">
        <v>211</v>
      </c>
      <c r="D768" s="85" t="s">
        <v>668</v>
      </c>
      <c r="E768" s="86" t="s">
        <v>35</v>
      </c>
      <c r="F768" s="85" t="s">
        <v>222</v>
      </c>
      <c r="G768" s="12">
        <f>G769+G772</f>
        <v>5231.6299999999992</v>
      </c>
      <c r="H768" s="12">
        <f>H769+H772</f>
        <v>0</v>
      </c>
      <c r="I768" s="12">
        <f>I769+I772</f>
        <v>0</v>
      </c>
    </row>
    <row r="769" spans="1:16" ht="86.25" customHeight="1" x14ac:dyDescent="0.25">
      <c r="A769" s="254" t="s">
        <v>1067</v>
      </c>
      <c r="B769" s="3" t="s">
        <v>225</v>
      </c>
      <c r="C769" s="4" t="s">
        <v>211</v>
      </c>
      <c r="D769" s="4" t="s">
        <v>668</v>
      </c>
      <c r="E769" s="3" t="s">
        <v>1056</v>
      </c>
      <c r="F769" s="4" t="s">
        <v>222</v>
      </c>
      <c r="G769" s="11">
        <f t="shared" ref="G769:I770" si="163">G770</f>
        <v>2607</v>
      </c>
      <c r="H769" s="11">
        <f t="shared" si="163"/>
        <v>0</v>
      </c>
      <c r="I769" s="11">
        <f t="shared" si="163"/>
        <v>0</v>
      </c>
    </row>
    <row r="770" spans="1:16" ht="45" x14ac:dyDescent="0.25">
      <c r="A770" s="254" t="s">
        <v>715</v>
      </c>
      <c r="B770" s="3" t="s">
        <v>225</v>
      </c>
      <c r="C770" s="4" t="s">
        <v>211</v>
      </c>
      <c r="D770" s="4" t="s">
        <v>668</v>
      </c>
      <c r="E770" s="3" t="s">
        <v>1056</v>
      </c>
      <c r="F770" s="4" t="s">
        <v>714</v>
      </c>
      <c r="G770" s="11">
        <f t="shared" si="163"/>
        <v>2607</v>
      </c>
      <c r="H770" s="11">
        <f t="shared" si="163"/>
        <v>0</v>
      </c>
      <c r="I770" s="11">
        <f t="shared" si="163"/>
        <v>0</v>
      </c>
    </row>
    <row r="771" spans="1:16" x14ac:dyDescent="0.25">
      <c r="A771" s="254" t="s">
        <v>124</v>
      </c>
      <c r="B771" s="3" t="s">
        <v>225</v>
      </c>
      <c r="C771" s="4" t="s">
        <v>211</v>
      </c>
      <c r="D771" s="4" t="s">
        <v>668</v>
      </c>
      <c r="E771" s="3" t="s">
        <v>1056</v>
      </c>
      <c r="F771" s="4" t="s">
        <v>165</v>
      </c>
      <c r="G771" s="11">
        <f>'5'!D31</f>
        <v>2607</v>
      </c>
      <c r="H771" s="11">
        <f>'5'!E29</f>
        <v>0</v>
      </c>
      <c r="I771" s="11">
        <f>'5'!F29</f>
        <v>0</v>
      </c>
      <c r="J771" s="16" t="e">
        <f>'5'!#REF!</f>
        <v>#REF!</v>
      </c>
    </row>
    <row r="772" spans="1:16" ht="60" x14ac:dyDescent="0.25">
      <c r="A772" s="254" t="s">
        <v>1068</v>
      </c>
      <c r="B772" s="3" t="s">
        <v>225</v>
      </c>
      <c r="C772" s="4" t="s">
        <v>211</v>
      </c>
      <c r="D772" s="4" t="s">
        <v>668</v>
      </c>
      <c r="E772" s="3" t="s">
        <v>1060</v>
      </c>
      <c r="F772" s="4" t="s">
        <v>222</v>
      </c>
      <c r="G772" s="11">
        <f t="shared" ref="G772:I773" si="164">G773</f>
        <v>2624.6299999999997</v>
      </c>
      <c r="H772" s="11">
        <f t="shared" si="164"/>
        <v>0</v>
      </c>
      <c r="I772" s="11">
        <f t="shared" si="164"/>
        <v>0</v>
      </c>
    </row>
    <row r="773" spans="1:16" ht="45" x14ac:dyDescent="0.25">
      <c r="A773" s="254" t="s">
        <v>715</v>
      </c>
      <c r="B773" s="3" t="s">
        <v>225</v>
      </c>
      <c r="C773" s="4" t="s">
        <v>211</v>
      </c>
      <c r="D773" s="4" t="s">
        <v>668</v>
      </c>
      <c r="E773" s="3" t="s">
        <v>1060</v>
      </c>
      <c r="F773" s="4" t="s">
        <v>714</v>
      </c>
      <c r="G773" s="11">
        <f t="shared" si="164"/>
        <v>2624.6299999999997</v>
      </c>
      <c r="H773" s="11">
        <f t="shared" si="164"/>
        <v>0</v>
      </c>
      <c r="I773" s="11">
        <f t="shared" si="164"/>
        <v>0</v>
      </c>
    </row>
    <row r="774" spans="1:16" x14ac:dyDescent="0.25">
      <c r="A774" s="254" t="s">
        <v>124</v>
      </c>
      <c r="B774" s="3" t="s">
        <v>225</v>
      </c>
      <c r="C774" s="4" t="s">
        <v>211</v>
      </c>
      <c r="D774" s="4" t="s">
        <v>668</v>
      </c>
      <c r="E774" s="3" t="s">
        <v>1060</v>
      </c>
      <c r="F774" s="4" t="s">
        <v>165</v>
      </c>
      <c r="G774" s="11">
        <f>'5'!D34</f>
        <v>2624.6299999999997</v>
      </c>
      <c r="H774" s="11">
        <f>'5'!E30</f>
        <v>0</v>
      </c>
      <c r="I774" s="11">
        <f>'5'!F30</f>
        <v>0</v>
      </c>
    </row>
    <row r="775" spans="1:16" ht="42.75" x14ac:dyDescent="0.25">
      <c r="A775" s="261" t="s">
        <v>1048</v>
      </c>
      <c r="B775" s="3" t="s">
        <v>225</v>
      </c>
      <c r="C775" s="4" t="s">
        <v>211</v>
      </c>
      <c r="D775" s="4" t="s">
        <v>668</v>
      </c>
      <c r="E775" s="3" t="s">
        <v>35</v>
      </c>
      <c r="F775" s="4" t="s">
        <v>222</v>
      </c>
      <c r="G775" s="11">
        <f>G776+G779</f>
        <v>3030.3030399999998</v>
      </c>
      <c r="H775" s="11">
        <f t="shared" ref="H775:I775" si="165">H776+H779</f>
        <v>0</v>
      </c>
      <c r="I775" s="11">
        <f t="shared" si="165"/>
        <v>0</v>
      </c>
    </row>
    <row r="776" spans="1:16" ht="78" customHeight="1" x14ac:dyDescent="0.25">
      <c r="A776" s="254" t="s">
        <v>1069</v>
      </c>
      <c r="B776" s="3" t="s">
        <v>225</v>
      </c>
      <c r="C776" s="4" t="s">
        <v>211</v>
      </c>
      <c r="D776" s="4" t="s">
        <v>668</v>
      </c>
      <c r="E776" s="98" t="s">
        <v>1061</v>
      </c>
      <c r="F776" s="4" t="s">
        <v>222</v>
      </c>
      <c r="G776" s="11">
        <f t="shared" ref="G776:I777" si="166">G777</f>
        <v>1515.1515199999999</v>
      </c>
      <c r="H776" s="11">
        <f t="shared" si="166"/>
        <v>0</v>
      </c>
      <c r="I776" s="11">
        <f t="shared" si="166"/>
        <v>0</v>
      </c>
    </row>
    <row r="777" spans="1:16" ht="45.75" customHeight="1" x14ac:dyDescent="0.25">
      <c r="A777" s="254" t="s">
        <v>715</v>
      </c>
      <c r="B777" s="3" t="s">
        <v>225</v>
      </c>
      <c r="C777" s="4" t="s">
        <v>211</v>
      </c>
      <c r="D777" s="4" t="s">
        <v>668</v>
      </c>
      <c r="E777" s="98" t="s">
        <v>1061</v>
      </c>
      <c r="F777" s="4" t="s">
        <v>714</v>
      </c>
      <c r="G777" s="11">
        <f t="shared" si="166"/>
        <v>1515.1515199999999</v>
      </c>
      <c r="H777" s="11">
        <f t="shared" si="166"/>
        <v>0</v>
      </c>
      <c r="I777" s="11">
        <f t="shared" si="166"/>
        <v>0</v>
      </c>
    </row>
    <row r="778" spans="1:16" ht="18" customHeight="1" x14ac:dyDescent="0.25">
      <c r="A778" s="254" t="s">
        <v>124</v>
      </c>
      <c r="B778" s="3" t="s">
        <v>225</v>
      </c>
      <c r="C778" s="4" t="s">
        <v>211</v>
      </c>
      <c r="D778" s="4" t="s">
        <v>668</v>
      </c>
      <c r="E778" s="98" t="s">
        <v>1061</v>
      </c>
      <c r="F778" s="4" t="s">
        <v>165</v>
      </c>
      <c r="G778" s="11">
        <f>'5'!D40</f>
        <v>1515.1515199999999</v>
      </c>
      <c r="H778" s="11">
        <f>'5'!E38</f>
        <v>0</v>
      </c>
      <c r="I778" s="11">
        <f>'5'!F38</f>
        <v>0</v>
      </c>
    </row>
    <row r="779" spans="1:16" ht="78.75" customHeight="1" x14ac:dyDescent="0.25">
      <c r="A779" s="254" t="s">
        <v>1070</v>
      </c>
      <c r="B779" s="3" t="s">
        <v>225</v>
      </c>
      <c r="C779" s="4" t="s">
        <v>211</v>
      </c>
      <c r="D779" s="4" t="s">
        <v>668</v>
      </c>
      <c r="E779" s="98" t="s">
        <v>1062</v>
      </c>
      <c r="F779" s="4" t="s">
        <v>222</v>
      </c>
      <c r="G779" s="11">
        <f t="shared" ref="G779:I780" si="167">G780</f>
        <v>1515.1515199999999</v>
      </c>
      <c r="H779" s="11">
        <f t="shared" si="167"/>
        <v>0</v>
      </c>
      <c r="I779" s="11">
        <f t="shared" si="167"/>
        <v>0</v>
      </c>
    </row>
    <row r="780" spans="1:16" ht="51.75" customHeight="1" x14ac:dyDescent="0.25">
      <c r="A780" s="254" t="s">
        <v>715</v>
      </c>
      <c r="B780" s="3" t="s">
        <v>225</v>
      </c>
      <c r="C780" s="4" t="s">
        <v>211</v>
      </c>
      <c r="D780" s="4" t="s">
        <v>668</v>
      </c>
      <c r="E780" s="98" t="s">
        <v>1062</v>
      </c>
      <c r="F780" s="4" t="s">
        <v>714</v>
      </c>
      <c r="G780" s="11">
        <f t="shared" si="167"/>
        <v>1515.1515199999999</v>
      </c>
      <c r="H780" s="11">
        <f t="shared" si="167"/>
        <v>0</v>
      </c>
      <c r="I780" s="11">
        <f t="shared" si="167"/>
        <v>0</v>
      </c>
    </row>
    <row r="781" spans="1:16" ht="18.75" customHeight="1" x14ac:dyDescent="0.25">
      <c r="A781" s="254" t="s">
        <v>124</v>
      </c>
      <c r="B781" s="3" t="s">
        <v>225</v>
      </c>
      <c r="C781" s="4" t="s">
        <v>211</v>
      </c>
      <c r="D781" s="4" t="s">
        <v>668</v>
      </c>
      <c r="E781" s="98" t="s">
        <v>1062</v>
      </c>
      <c r="F781" s="4" t="s">
        <v>165</v>
      </c>
      <c r="G781" s="11">
        <f>'5'!D43</f>
        <v>1515.1515199999999</v>
      </c>
      <c r="H781" s="11">
        <f>'5'!E39</f>
        <v>0</v>
      </c>
      <c r="I781" s="11">
        <f>'5'!F39</f>
        <v>0</v>
      </c>
      <c r="L781" s="48"/>
      <c r="M781" s="48"/>
      <c r="N781" s="48"/>
      <c r="O781" s="48"/>
      <c r="P781" s="48"/>
    </row>
    <row r="782" spans="1:16" ht="31.9" customHeight="1" x14ac:dyDescent="0.25">
      <c r="A782" s="274" t="s">
        <v>803</v>
      </c>
      <c r="B782" s="17" t="s">
        <v>225</v>
      </c>
      <c r="C782" s="6" t="s">
        <v>211</v>
      </c>
      <c r="D782" s="6" t="s">
        <v>668</v>
      </c>
      <c r="E782" s="4" t="s">
        <v>39</v>
      </c>
      <c r="F782" s="4" t="s">
        <v>222</v>
      </c>
      <c r="G782" s="11">
        <f>G783+G786</f>
        <v>1496.3879999999999</v>
      </c>
      <c r="H782" s="11">
        <f>H783+H786</f>
        <v>1800</v>
      </c>
      <c r="I782" s="11">
        <f>I783+I786</f>
        <v>1800</v>
      </c>
    </row>
    <row r="783" spans="1:16" ht="45" x14ac:dyDescent="0.25">
      <c r="A783" s="277" t="s">
        <v>143</v>
      </c>
      <c r="B783" s="42" t="s">
        <v>225</v>
      </c>
      <c r="C783" s="18" t="s">
        <v>211</v>
      </c>
      <c r="D783" s="18" t="s">
        <v>668</v>
      </c>
      <c r="E783" s="18" t="s">
        <v>804</v>
      </c>
      <c r="F783" s="18" t="s">
        <v>222</v>
      </c>
      <c r="G783" s="15">
        <f>G784</f>
        <v>250</v>
      </c>
      <c r="H783" s="15">
        <f t="shared" ref="G783:I784" si="168">H784</f>
        <v>300</v>
      </c>
      <c r="I783" s="15">
        <f t="shared" si="168"/>
        <v>300</v>
      </c>
    </row>
    <row r="784" spans="1:16" ht="45" x14ac:dyDescent="0.25">
      <c r="A784" s="255" t="s">
        <v>715</v>
      </c>
      <c r="B784" s="17" t="s">
        <v>225</v>
      </c>
      <c r="C784" s="6" t="s">
        <v>211</v>
      </c>
      <c r="D784" s="6" t="s">
        <v>668</v>
      </c>
      <c r="E784" s="6" t="s">
        <v>804</v>
      </c>
      <c r="F784" s="6" t="s">
        <v>714</v>
      </c>
      <c r="G784" s="13">
        <f t="shared" si="168"/>
        <v>250</v>
      </c>
      <c r="H784" s="13">
        <f t="shared" si="168"/>
        <v>300</v>
      </c>
      <c r="I784" s="13">
        <f t="shared" si="168"/>
        <v>300</v>
      </c>
    </row>
    <row r="785" spans="1:16" ht="21" customHeight="1" x14ac:dyDescent="0.25">
      <c r="A785" s="255" t="s">
        <v>124</v>
      </c>
      <c r="B785" s="17" t="s">
        <v>225</v>
      </c>
      <c r="C785" s="6" t="s">
        <v>211</v>
      </c>
      <c r="D785" s="6" t="s">
        <v>668</v>
      </c>
      <c r="E785" s="6" t="s">
        <v>40</v>
      </c>
      <c r="F785" s="6" t="s">
        <v>165</v>
      </c>
      <c r="G785" s="13">
        <f>'5'!D67</f>
        <v>250</v>
      </c>
      <c r="H785" s="13">
        <f>'5'!E67</f>
        <v>300</v>
      </c>
      <c r="I785" s="13">
        <f>'5'!F67</f>
        <v>300</v>
      </c>
    </row>
    <row r="786" spans="1:16" ht="32.25" customHeight="1" x14ac:dyDescent="0.25">
      <c r="A786" s="277" t="s">
        <v>142</v>
      </c>
      <c r="B786" s="42" t="s">
        <v>225</v>
      </c>
      <c r="C786" s="18" t="s">
        <v>211</v>
      </c>
      <c r="D786" s="18" t="s">
        <v>668</v>
      </c>
      <c r="E786" s="18" t="s">
        <v>804</v>
      </c>
      <c r="F786" s="18" t="s">
        <v>222</v>
      </c>
      <c r="G786" s="15">
        <f t="shared" ref="G786:I787" si="169">G787</f>
        <v>1246.3879999999999</v>
      </c>
      <c r="H786" s="15">
        <f t="shared" si="169"/>
        <v>1500</v>
      </c>
      <c r="I786" s="15">
        <f t="shared" si="169"/>
        <v>1500</v>
      </c>
    </row>
    <row r="787" spans="1:16" ht="48.75" customHeight="1" x14ac:dyDescent="0.25">
      <c r="A787" s="255" t="s">
        <v>715</v>
      </c>
      <c r="B787" s="17" t="s">
        <v>225</v>
      </c>
      <c r="C787" s="6" t="s">
        <v>211</v>
      </c>
      <c r="D787" s="6" t="s">
        <v>668</v>
      </c>
      <c r="E787" s="6" t="s">
        <v>804</v>
      </c>
      <c r="F787" s="6" t="s">
        <v>714</v>
      </c>
      <c r="G787" s="13">
        <f t="shared" si="169"/>
        <v>1246.3879999999999</v>
      </c>
      <c r="H787" s="13">
        <f t="shared" si="169"/>
        <v>1500</v>
      </c>
      <c r="I787" s="13">
        <f t="shared" si="169"/>
        <v>1500</v>
      </c>
    </row>
    <row r="788" spans="1:16" ht="18.75" customHeight="1" x14ac:dyDescent="0.25">
      <c r="A788" s="255" t="s">
        <v>979</v>
      </c>
      <c r="B788" s="17" t="s">
        <v>225</v>
      </c>
      <c r="C788" s="6" t="s">
        <v>211</v>
      </c>
      <c r="D788" s="6" t="s">
        <v>668</v>
      </c>
      <c r="E788" s="6" t="s">
        <v>41</v>
      </c>
      <c r="F788" s="6" t="s">
        <v>165</v>
      </c>
      <c r="G788" s="11">
        <f>'5'!D68</f>
        <v>1246.3879999999999</v>
      </c>
      <c r="H788" s="11">
        <f>'5'!E68</f>
        <v>1500</v>
      </c>
      <c r="I788" s="11">
        <f>'5'!F68</f>
        <v>1500</v>
      </c>
    </row>
    <row r="789" spans="1:16" ht="30" hidden="1" x14ac:dyDescent="0.25">
      <c r="A789" s="274" t="s">
        <v>805</v>
      </c>
      <c r="B789" s="17" t="s">
        <v>225</v>
      </c>
      <c r="C789" s="6" t="s">
        <v>211</v>
      </c>
      <c r="D789" s="6" t="s">
        <v>668</v>
      </c>
      <c r="E789" s="6" t="s">
        <v>42</v>
      </c>
      <c r="F789" s="6" t="s">
        <v>222</v>
      </c>
      <c r="G789" s="13">
        <f>G790</f>
        <v>0</v>
      </c>
      <c r="H789" s="13">
        <f>H790</f>
        <v>0</v>
      </c>
      <c r="I789" s="13">
        <f>I790</f>
        <v>0</v>
      </c>
    </row>
    <row r="790" spans="1:16" ht="45" hidden="1" x14ac:dyDescent="0.25">
      <c r="A790" s="255" t="s">
        <v>715</v>
      </c>
      <c r="B790" s="17" t="s">
        <v>225</v>
      </c>
      <c r="C790" s="6" t="s">
        <v>211</v>
      </c>
      <c r="D790" s="6" t="s">
        <v>668</v>
      </c>
      <c r="E790" s="6" t="s">
        <v>807</v>
      </c>
      <c r="F790" s="6" t="s">
        <v>222</v>
      </c>
      <c r="G790" s="13">
        <f>G791+G792</f>
        <v>0</v>
      </c>
      <c r="H790" s="13">
        <f>H791+H792</f>
        <v>0</v>
      </c>
      <c r="I790" s="13">
        <f>I791+I792</f>
        <v>0</v>
      </c>
    </row>
    <row r="791" spans="1:16" ht="30" hidden="1" x14ac:dyDescent="0.25">
      <c r="A791" s="255" t="s">
        <v>808</v>
      </c>
      <c r="B791" s="17" t="s">
        <v>225</v>
      </c>
      <c r="C791" s="6" t="s">
        <v>211</v>
      </c>
      <c r="D791" s="6" t="s">
        <v>668</v>
      </c>
      <c r="E791" s="6" t="s">
        <v>43</v>
      </c>
      <c r="F791" s="6" t="s">
        <v>165</v>
      </c>
      <c r="G791" s="13"/>
      <c r="H791" s="13"/>
      <c r="I791" s="13"/>
    </row>
    <row r="792" spans="1:16" ht="30" hidden="1" x14ac:dyDescent="0.25">
      <c r="A792" s="255" t="s">
        <v>809</v>
      </c>
      <c r="B792" s="17" t="s">
        <v>225</v>
      </c>
      <c r="C792" s="6" t="s">
        <v>211</v>
      </c>
      <c r="D792" s="6" t="s">
        <v>668</v>
      </c>
      <c r="E792" s="6" t="s">
        <v>44</v>
      </c>
      <c r="F792" s="6" t="s">
        <v>165</v>
      </c>
      <c r="G792" s="13"/>
      <c r="H792" s="13"/>
      <c r="I792" s="13"/>
    </row>
    <row r="793" spans="1:16" ht="48" customHeight="1" x14ac:dyDescent="0.25">
      <c r="A793" s="277" t="s">
        <v>724</v>
      </c>
      <c r="B793" s="42" t="s">
        <v>225</v>
      </c>
      <c r="C793" s="18" t="s">
        <v>211</v>
      </c>
      <c r="D793" s="18" t="s">
        <v>668</v>
      </c>
      <c r="E793" s="18" t="s">
        <v>22</v>
      </c>
      <c r="F793" s="18" t="s">
        <v>222</v>
      </c>
      <c r="G793" s="15">
        <f t="shared" ref="G793:I794" si="170">G794</f>
        <v>257750.0214</v>
      </c>
      <c r="H793" s="15">
        <f t="shared" si="170"/>
        <v>267175.44</v>
      </c>
      <c r="I793" s="15">
        <f t="shared" si="170"/>
        <v>283183.27899999998</v>
      </c>
      <c r="L793" s="175"/>
      <c r="M793" s="175"/>
      <c r="N793" s="175"/>
      <c r="O793" s="175"/>
      <c r="P793" s="175"/>
    </row>
    <row r="794" spans="1:16" ht="51" customHeight="1" x14ac:dyDescent="0.25">
      <c r="A794" s="274" t="s">
        <v>882</v>
      </c>
      <c r="B794" s="17" t="s">
        <v>225</v>
      </c>
      <c r="C794" s="6" t="s">
        <v>211</v>
      </c>
      <c r="D794" s="6" t="s">
        <v>668</v>
      </c>
      <c r="E794" s="6" t="s">
        <v>35</v>
      </c>
      <c r="F794" s="6" t="s">
        <v>222</v>
      </c>
      <c r="G794" s="13">
        <f t="shared" si="170"/>
        <v>257750.0214</v>
      </c>
      <c r="H794" s="13">
        <f t="shared" si="170"/>
        <v>267175.44</v>
      </c>
      <c r="I794" s="13">
        <f t="shared" si="170"/>
        <v>283183.27899999998</v>
      </c>
    </row>
    <row r="795" spans="1:16" s="48" customFormat="1" ht="20.25" customHeight="1" x14ac:dyDescent="0.25">
      <c r="A795" s="266" t="s">
        <v>704</v>
      </c>
      <c r="B795" s="19" t="s">
        <v>225</v>
      </c>
      <c r="C795" s="20" t="s">
        <v>211</v>
      </c>
      <c r="D795" s="20" t="s">
        <v>668</v>
      </c>
      <c r="E795" s="20" t="s">
        <v>666</v>
      </c>
      <c r="F795" s="20" t="s">
        <v>222</v>
      </c>
      <c r="G795" s="21">
        <f>G798+G801+G804</f>
        <v>257750.0214</v>
      </c>
      <c r="H795" s="21">
        <f>H798+H801+H804</f>
        <v>267175.44</v>
      </c>
      <c r="I795" s="21">
        <f>I798+I801+I804</f>
        <v>283183.27899999998</v>
      </c>
      <c r="L795" s="7"/>
      <c r="M795" s="7"/>
      <c r="N795" s="7"/>
      <c r="O795" s="7"/>
      <c r="P795" s="7"/>
    </row>
    <row r="796" spans="1:16" ht="55.5" hidden="1" customHeight="1" x14ac:dyDescent="0.25">
      <c r="A796" s="255" t="s">
        <v>980</v>
      </c>
      <c r="B796" s="17" t="s">
        <v>225</v>
      </c>
      <c r="C796" s="6" t="s">
        <v>211</v>
      </c>
      <c r="D796" s="6" t="s">
        <v>668</v>
      </c>
      <c r="E796" s="6" t="s">
        <v>981</v>
      </c>
      <c r="F796" s="6" t="s">
        <v>222</v>
      </c>
      <c r="G796" s="13">
        <f>G797</f>
        <v>0</v>
      </c>
      <c r="H796" s="13">
        <f>H797</f>
        <v>0</v>
      </c>
      <c r="I796" s="13">
        <f>I797</f>
        <v>0</v>
      </c>
    </row>
    <row r="797" spans="1:16" hidden="1" x14ac:dyDescent="0.25">
      <c r="A797" s="255" t="s">
        <v>704</v>
      </c>
      <c r="B797" s="17" t="s">
        <v>225</v>
      </c>
      <c r="C797" s="6" t="s">
        <v>211</v>
      </c>
      <c r="D797" s="6" t="s">
        <v>668</v>
      </c>
      <c r="E797" s="6" t="s">
        <v>981</v>
      </c>
      <c r="F797" s="6" t="s">
        <v>745</v>
      </c>
      <c r="G797" s="13"/>
      <c r="H797" s="13"/>
      <c r="I797" s="13"/>
    </row>
    <row r="798" spans="1:16" ht="63" customHeight="1" x14ac:dyDescent="0.25">
      <c r="A798" s="277" t="s">
        <v>813</v>
      </c>
      <c r="B798" s="17" t="s">
        <v>225</v>
      </c>
      <c r="C798" s="6" t="s">
        <v>211</v>
      </c>
      <c r="D798" s="6" t="s">
        <v>668</v>
      </c>
      <c r="E798" s="6" t="s">
        <v>35</v>
      </c>
      <c r="F798" s="6" t="s">
        <v>222</v>
      </c>
      <c r="G798" s="13">
        <f t="shared" ref="G798:I799" si="171">G799</f>
        <v>3980.534200000001</v>
      </c>
      <c r="H798" s="13">
        <f t="shared" si="171"/>
        <v>0</v>
      </c>
      <c r="I798" s="13">
        <f t="shared" si="171"/>
        <v>0</v>
      </c>
    </row>
    <row r="799" spans="1:16" ht="51" customHeight="1" x14ac:dyDescent="0.25">
      <c r="A799" s="255" t="s">
        <v>715</v>
      </c>
      <c r="B799" s="17" t="s">
        <v>225</v>
      </c>
      <c r="C799" s="6" t="s">
        <v>211</v>
      </c>
      <c r="D799" s="6" t="s">
        <v>668</v>
      </c>
      <c r="E799" s="6" t="s">
        <v>324</v>
      </c>
      <c r="F799" s="6" t="s">
        <v>714</v>
      </c>
      <c r="G799" s="11">
        <f t="shared" si="171"/>
        <v>3980.534200000001</v>
      </c>
      <c r="H799" s="11">
        <f t="shared" si="171"/>
        <v>0</v>
      </c>
      <c r="I799" s="11">
        <f t="shared" si="171"/>
        <v>0</v>
      </c>
    </row>
    <row r="800" spans="1:16" ht="18" customHeight="1" x14ac:dyDescent="0.25">
      <c r="A800" s="255" t="s">
        <v>124</v>
      </c>
      <c r="B800" s="17" t="s">
        <v>225</v>
      </c>
      <c r="C800" s="6" t="s">
        <v>211</v>
      </c>
      <c r="D800" s="6" t="s">
        <v>668</v>
      </c>
      <c r="E800" s="6" t="s">
        <v>324</v>
      </c>
      <c r="F800" s="6" t="s">
        <v>165</v>
      </c>
      <c r="G800" s="11">
        <f>'5'!D50-200-35</f>
        <v>3980.534200000001</v>
      </c>
      <c r="H800" s="11">
        <f>'5'!E50</f>
        <v>0</v>
      </c>
      <c r="I800" s="11">
        <f>'5'!F50</f>
        <v>0</v>
      </c>
    </row>
    <row r="801" spans="1:16" ht="83.25" customHeight="1" x14ac:dyDescent="0.25">
      <c r="A801" s="277" t="s">
        <v>414</v>
      </c>
      <c r="B801" s="42" t="s">
        <v>225</v>
      </c>
      <c r="C801" s="18" t="s">
        <v>211</v>
      </c>
      <c r="D801" s="18" t="s">
        <v>668</v>
      </c>
      <c r="E801" s="18" t="s">
        <v>531</v>
      </c>
      <c r="F801" s="18" t="s">
        <v>222</v>
      </c>
      <c r="G801" s="95">
        <f t="shared" ref="G801:I802" si="172">G802</f>
        <v>2380.3292000000001</v>
      </c>
      <c r="H801" s="95">
        <f t="shared" si="172"/>
        <v>0</v>
      </c>
      <c r="I801" s="95">
        <f t="shared" si="172"/>
        <v>0</v>
      </c>
    </row>
    <row r="802" spans="1:16" ht="45" x14ac:dyDescent="0.25">
      <c r="A802" s="255" t="s">
        <v>715</v>
      </c>
      <c r="B802" s="17" t="s">
        <v>225</v>
      </c>
      <c r="C802" s="6" t="s">
        <v>211</v>
      </c>
      <c r="D802" s="6" t="s">
        <v>668</v>
      </c>
      <c r="E802" s="6" t="s">
        <v>531</v>
      </c>
      <c r="F802" s="6" t="s">
        <v>714</v>
      </c>
      <c r="G802" s="11">
        <f t="shared" si="172"/>
        <v>2380.3292000000001</v>
      </c>
      <c r="H802" s="11">
        <f t="shared" si="172"/>
        <v>0</v>
      </c>
      <c r="I802" s="11">
        <f t="shared" si="172"/>
        <v>0</v>
      </c>
    </row>
    <row r="803" spans="1:16" ht="18" customHeight="1" x14ac:dyDescent="0.25">
      <c r="A803" s="255" t="s">
        <v>124</v>
      </c>
      <c r="B803" s="17" t="s">
        <v>225</v>
      </c>
      <c r="C803" s="6" t="s">
        <v>211</v>
      </c>
      <c r="D803" s="6" t="s">
        <v>668</v>
      </c>
      <c r="E803" s="6" t="s">
        <v>531</v>
      </c>
      <c r="F803" s="6" t="s">
        <v>165</v>
      </c>
      <c r="G803" s="11">
        <f>'5'!D52</f>
        <v>2380.3292000000001</v>
      </c>
      <c r="H803" s="11">
        <f>'5'!E52</f>
        <v>0</v>
      </c>
      <c r="I803" s="11">
        <f>'5'!F52</f>
        <v>0</v>
      </c>
    </row>
    <row r="804" spans="1:16" ht="80.25" customHeight="1" x14ac:dyDescent="0.25">
      <c r="A804" s="277" t="s">
        <v>814</v>
      </c>
      <c r="B804" s="17" t="s">
        <v>225</v>
      </c>
      <c r="C804" s="6" t="s">
        <v>211</v>
      </c>
      <c r="D804" s="6" t="s">
        <v>668</v>
      </c>
      <c r="E804" s="6" t="s">
        <v>47</v>
      </c>
      <c r="F804" s="6" t="s">
        <v>222</v>
      </c>
      <c r="G804" s="11">
        <f t="shared" ref="G804:I805" si="173">G805</f>
        <v>251389.158</v>
      </c>
      <c r="H804" s="11">
        <f t="shared" si="173"/>
        <v>267175.44</v>
      </c>
      <c r="I804" s="11">
        <f t="shared" si="173"/>
        <v>283183.27899999998</v>
      </c>
    </row>
    <row r="805" spans="1:16" ht="47.25" customHeight="1" x14ac:dyDescent="0.25">
      <c r="A805" s="255" t="s">
        <v>715</v>
      </c>
      <c r="B805" s="17" t="s">
        <v>225</v>
      </c>
      <c r="C805" s="6" t="s">
        <v>211</v>
      </c>
      <c r="D805" s="6" t="s">
        <v>668</v>
      </c>
      <c r="E805" s="6" t="s">
        <v>47</v>
      </c>
      <c r="F805" s="6" t="s">
        <v>714</v>
      </c>
      <c r="G805" s="11">
        <f t="shared" si="173"/>
        <v>251389.158</v>
      </c>
      <c r="H805" s="13">
        <f t="shared" si="173"/>
        <v>267175.44</v>
      </c>
      <c r="I805" s="13">
        <f t="shared" si="173"/>
        <v>283183.27899999998</v>
      </c>
    </row>
    <row r="806" spans="1:16" ht="18.75" customHeight="1" x14ac:dyDescent="0.25">
      <c r="A806" s="255" t="s">
        <v>124</v>
      </c>
      <c r="B806" s="17" t="s">
        <v>225</v>
      </c>
      <c r="C806" s="6" t="s">
        <v>211</v>
      </c>
      <c r="D806" s="6" t="s">
        <v>668</v>
      </c>
      <c r="E806" s="6" t="s">
        <v>47</v>
      </c>
      <c r="F806" s="6" t="s">
        <v>165</v>
      </c>
      <c r="G806" s="11">
        <f>'5'!D49</f>
        <v>251389.158</v>
      </c>
      <c r="H806" s="11">
        <f>'5'!E49</f>
        <v>267175.44</v>
      </c>
      <c r="I806" s="11">
        <f>'5'!F49</f>
        <v>283183.27899999998</v>
      </c>
      <c r="J806" s="11" t="e">
        <f>'5'!#REF!</f>
        <v>#REF!</v>
      </c>
    </row>
    <row r="807" spans="1:16" s="175" customFormat="1" ht="95.25" customHeight="1" x14ac:dyDescent="0.25">
      <c r="A807" s="277" t="s">
        <v>411</v>
      </c>
      <c r="B807" s="42" t="s">
        <v>225</v>
      </c>
      <c r="C807" s="18" t="s">
        <v>211</v>
      </c>
      <c r="D807" s="18" t="s">
        <v>668</v>
      </c>
      <c r="E807" s="18" t="s">
        <v>415</v>
      </c>
      <c r="F807" s="18" t="s">
        <v>222</v>
      </c>
      <c r="G807" s="15">
        <f t="shared" ref="G807:I808" si="174">G808</f>
        <v>41607.54</v>
      </c>
      <c r="H807" s="15">
        <f t="shared" si="174"/>
        <v>21411</v>
      </c>
      <c r="I807" s="15">
        <f t="shared" si="174"/>
        <v>21411</v>
      </c>
      <c r="L807" s="7"/>
      <c r="M807" s="7"/>
      <c r="N807" s="7"/>
      <c r="O807" s="7"/>
      <c r="P807" s="7"/>
    </row>
    <row r="808" spans="1:16" ht="50.25" customHeight="1" x14ac:dyDescent="0.25">
      <c r="A808" s="255" t="s">
        <v>715</v>
      </c>
      <c r="B808" s="17" t="s">
        <v>225</v>
      </c>
      <c r="C808" s="6" t="s">
        <v>211</v>
      </c>
      <c r="D808" s="6" t="s">
        <v>668</v>
      </c>
      <c r="E808" s="6" t="s">
        <v>415</v>
      </c>
      <c r="F808" s="6" t="s">
        <v>714</v>
      </c>
      <c r="G808" s="13">
        <f t="shared" si="174"/>
        <v>41607.54</v>
      </c>
      <c r="H808" s="13">
        <f t="shared" si="174"/>
        <v>21411</v>
      </c>
      <c r="I808" s="13">
        <f t="shared" si="174"/>
        <v>21411</v>
      </c>
    </row>
    <row r="809" spans="1:16" ht="18.75" customHeight="1" x14ac:dyDescent="0.25">
      <c r="A809" s="255" t="s">
        <v>124</v>
      </c>
      <c r="B809" s="17" t="s">
        <v>225</v>
      </c>
      <c r="C809" s="6" t="s">
        <v>211</v>
      </c>
      <c r="D809" s="6" t="s">
        <v>668</v>
      </c>
      <c r="E809" s="6" t="s">
        <v>415</v>
      </c>
      <c r="F809" s="6" t="s">
        <v>165</v>
      </c>
      <c r="G809" s="11">
        <f>'5'!D53</f>
        <v>41607.54</v>
      </c>
      <c r="H809" s="11">
        <f>'5'!E53</f>
        <v>21411</v>
      </c>
      <c r="I809" s="11">
        <f>'5'!F53</f>
        <v>21411</v>
      </c>
    </row>
    <row r="810" spans="1:16" ht="110.25" customHeight="1" x14ac:dyDescent="0.25">
      <c r="A810" s="263" t="s">
        <v>598</v>
      </c>
      <c r="B810" s="96" t="s">
        <v>225</v>
      </c>
      <c r="C810" s="158" t="s">
        <v>211</v>
      </c>
      <c r="D810" s="158" t="s">
        <v>668</v>
      </c>
      <c r="E810" s="96" t="s">
        <v>599</v>
      </c>
      <c r="F810" s="158" t="s">
        <v>222</v>
      </c>
      <c r="G810" s="95">
        <f t="shared" ref="G810:I810" si="175">G811</f>
        <v>1249.4748</v>
      </c>
      <c r="H810" s="95">
        <f t="shared" si="175"/>
        <v>3382.85664</v>
      </c>
      <c r="I810" s="95">
        <f t="shared" si="175"/>
        <v>4228.5708000000004</v>
      </c>
    </row>
    <row r="811" spans="1:16" ht="47.25" customHeight="1" x14ac:dyDescent="0.25">
      <c r="A811" s="254" t="s">
        <v>715</v>
      </c>
      <c r="B811" s="3" t="s">
        <v>225</v>
      </c>
      <c r="C811" s="4" t="s">
        <v>211</v>
      </c>
      <c r="D811" s="4" t="s">
        <v>668</v>
      </c>
      <c r="E811" s="3" t="s">
        <v>599</v>
      </c>
      <c r="F811" s="4" t="s">
        <v>714</v>
      </c>
      <c r="G811" s="11">
        <f>G812</f>
        <v>1249.4748</v>
      </c>
      <c r="H811" s="11">
        <f>H812</f>
        <v>3382.85664</v>
      </c>
      <c r="I811" s="11">
        <f>I812</f>
        <v>4228.5708000000004</v>
      </c>
      <c r="L811" s="47"/>
      <c r="M811" s="47"/>
      <c r="N811" s="47"/>
      <c r="O811" s="47"/>
      <c r="P811" s="47"/>
    </row>
    <row r="812" spans="1:16" ht="19.149999999999999" customHeight="1" x14ac:dyDescent="0.25">
      <c r="A812" s="254" t="s">
        <v>124</v>
      </c>
      <c r="B812" s="3" t="s">
        <v>225</v>
      </c>
      <c r="C812" s="4" t="s">
        <v>211</v>
      </c>
      <c r="D812" s="4" t="s">
        <v>668</v>
      </c>
      <c r="E812" s="196" t="s">
        <v>599</v>
      </c>
      <c r="F812" s="4" t="s">
        <v>165</v>
      </c>
      <c r="G812" s="11">
        <f>'5'!D54</f>
        <v>1249.4748</v>
      </c>
      <c r="H812" s="11">
        <f>'5'!E54</f>
        <v>3382.85664</v>
      </c>
      <c r="I812" s="11">
        <f>'5'!F54</f>
        <v>4228.5708000000004</v>
      </c>
    </row>
    <row r="813" spans="1:16" ht="204.75" customHeight="1" x14ac:dyDescent="0.25">
      <c r="A813" s="263" t="s">
        <v>1131</v>
      </c>
      <c r="B813" s="3" t="s">
        <v>225</v>
      </c>
      <c r="C813" s="4" t="s">
        <v>211</v>
      </c>
      <c r="D813" s="4" t="s">
        <v>668</v>
      </c>
      <c r="E813" s="352" t="s">
        <v>1133</v>
      </c>
      <c r="F813" s="4" t="s">
        <v>222</v>
      </c>
      <c r="G813" s="11">
        <f t="shared" ref="G813:I814" si="176">G814</f>
        <v>166.65600000000001</v>
      </c>
      <c r="H813" s="11">
        <f t="shared" si="176"/>
        <v>0</v>
      </c>
      <c r="I813" s="11">
        <f t="shared" si="176"/>
        <v>0</v>
      </c>
    </row>
    <row r="814" spans="1:16" ht="47.25" customHeight="1" x14ac:dyDescent="0.25">
      <c r="A814" s="254" t="s">
        <v>715</v>
      </c>
      <c r="B814" s="3" t="s">
        <v>225</v>
      </c>
      <c r="C814" s="4" t="s">
        <v>211</v>
      </c>
      <c r="D814" s="4" t="s">
        <v>668</v>
      </c>
      <c r="E814" s="353" t="s">
        <v>1133</v>
      </c>
      <c r="F814" s="4" t="s">
        <v>714</v>
      </c>
      <c r="G814" s="11">
        <f t="shared" si="176"/>
        <v>166.65600000000001</v>
      </c>
      <c r="H814" s="11">
        <f t="shared" si="176"/>
        <v>0</v>
      </c>
      <c r="I814" s="11">
        <f t="shared" si="176"/>
        <v>0</v>
      </c>
    </row>
    <row r="815" spans="1:16" ht="19.149999999999999" customHeight="1" x14ac:dyDescent="0.25">
      <c r="A815" s="254" t="s">
        <v>124</v>
      </c>
      <c r="B815" s="3" t="s">
        <v>225</v>
      </c>
      <c r="C815" s="4" t="s">
        <v>211</v>
      </c>
      <c r="D815" s="4" t="s">
        <v>668</v>
      </c>
      <c r="E815" s="353" t="s">
        <v>1133</v>
      </c>
      <c r="F815" s="4" t="s">
        <v>165</v>
      </c>
      <c r="G815" s="11">
        <f>'[1]5'!D55</f>
        <v>166.65600000000001</v>
      </c>
      <c r="H815" s="11">
        <f>'[1]5'!E55</f>
        <v>0</v>
      </c>
      <c r="I815" s="11">
        <f>'[1]5'!F55</f>
        <v>0</v>
      </c>
    </row>
    <row r="816" spans="1:16" ht="53.25" customHeight="1" x14ac:dyDescent="0.25">
      <c r="A816" s="314" t="s">
        <v>1075</v>
      </c>
      <c r="B816" s="348" t="s">
        <v>225</v>
      </c>
      <c r="C816" s="315" t="s">
        <v>211</v>
      </c>
      <c r="D816" s="315" t="s">
        <v>668</v>
      </c>
      <c r="E816" s="315" t="s">
        <v>54</v>
      </c>
      <c r="F816" s="315" t="s">
        <v>222</v>
      </c>
      <c r="G816" s="316">
        <f>G817</f>
        <v>17488.3851</v>
      </c>
      <c r="H816" s="316">
        <f>H817</f>
        <v>27452.799999999999</v>
      </c>
      <c r="I816" s="316">
        <f>I817</f>
        <v>27106</v>
      </c>
    </row>
    <row r="817" spans="1:16" ht="25.15" customHeight="1" x14ac:dyDescent="0.25">
      <c r="A817" s="277" t="s">
        <v>704</v>
      </c>
      <c r="B817" s="3" t="s">
        <v>225</v>
      </c>
      <c r="C817" s="4" t="s">
        <v>211</v>
      </c>
      <c r="D817" s="4" t="s">
        <v>668</v>
      </c>
      <c r="E817" s="18" t="s">
        <v>22</v>
      </c>
      <c r="F817" s="18" t="s">
        <v>222</v>
      </c>
      <c r="G817" s="15">
        <f>G818+G821+G824</f>
        <v>17488.3851</v>
      </c>
      <c r="H817" s="15">
        <f>H818+H821+H824</f>
        <v>27452.799999999999</v>
      </c>
      <c r="I817" s="15">
        <f>I818+I821+I824</f>
        <v>27106</v>
      </c>
    </row>
    <row r="818" spans="1:16" ht="63.75" customHeight="1" x14ac:dyDescent="0.25">
      <c r="A818" s="266" t="s">
        <v>813</v>
      </c>
      <c r="B818" s="3" t="s">
        <v>225</v>
      </c>
      <c r="C818" s="4" t="s">
        <v>211</v>
      </c>
      <c r="D818" s="4" t="s">
        <v>668</v>
      </c>
      <c r="E818" s="20" t="s">
        <v>22</v>
      </c>
      <c r="F818" s="20" t="s">
        <v>222</v>
      </c>
      <c r="G818" s="21">
        <f t="shared" ref="G818:I819" si="177">G819</f>
        <v>5721.3142999999991</v>
      </c>
      <c r="H818" s="21">
        <f t="shared" si="177"/>
        <v>11534.25</v>
      </c>
      <c r="I818" s="21">
        <f t="shared" si="177"/>
        <v>11534.25</v>
      </c>
    </row>
    <row r="819" spans="1:16" ht="51.75" customHeight="1" x14ac:dyDescent="0.25">
      <c r="A819" s="255" t="s">
        <v>715</v>
      </c>
      <c r="B819" s="3" t="s">
        <v>225</v>
      </c>
      <c r="C819" s="4" t="s">
        <v>211</v>
      </c>
      <c r="D819" s="4" t="s">
        <v>668</v>
      </c>
      <c r="E819" s="4" t="s">
        <v>1089</v>
      </c>
      <c r="F819" s="4" t="s">
        <v>714</v>
      </c>
      <c r="G819" s="11">
        <f t="shared" si="177"/>
        <v>5721.3142999999991</v>
      </c>
      <c r="H819" s="11">
        <f t="shared" si="177"/>
        <v>11534.25</v>
      </c>
      <c r="I819" s="11">
        <f t="shared" si="177"/>
        <v>11534.25</v>
      </c>
    </row>
    <row r="820" spans="1:16" ht="25.15" customHeight="1" x14ac:dyDescent="0.25">
      <c r="A820" s="255" t="s">
        <v>124</v>
      </c>
      <c r="B820" s="3" t="s">
        <v>225</v>
      </c>
      <c r="C820" s="4" t="s">
        <v>211</v>
      </c>
      <c r="D820" s="4" t="s">
        <v>668</v>
      </c>
      <c r="E820" s="4" t="s">
        <v>1089</v>
      </c>
      <c r="F820" s="4" t="s">
        <v>165</v>
      </c>
      <c r="G820" s="11">
        <f>'5'!D102</f>
        <v>5721.3142999999991</v>
      </c>
      <c r="H820" s="11">
        <f>'5'!E102-200</f>
        <v>11534.25</v>
      </c>
      <c r="I820" s="11">
        <f>'5'!F102-200</f>
        <v>11534.25</v>
      </c>
    </row>
    <row r="821" spans="1:16" ht="80.25" customHeight="1" x14ac:dyDescent="0.25">
      <c r="A821" s="266" t="s">
        <v>414</v>
      </c>
      <c r="B821" s="3" t="s">
        <v>225</v>
      </c>
      <c r="C821" s="4" t="s">
        <v>211</v>
      </c>
      <c r="D821" s="4" t="s">
        <v>668</v>
      </c>
      <c r="E821" s="317" t="s">
        <v>1099</v>
      </c>
      <c r="F821" s="78" t="s">
        <v>222</v>
      </c>
      <c r="G821" s="99">
        <f t="shared" ref="G821:I822" si="178">G822</f>
        <v>11767.0708</v>
      </c>
      <c r="H821" s="99">
        <f t="shared" si="178"/>
        <v>15880.55</v>
      </c>
      <c r="I821" s="99">
        <f t="shared" si="178"/>
        <v>15533.75</v>
      </c>
    </row>
    <row r="822" spans="1:16" ht="46.5" customHeight="1" x14ac:dyDescent="0.25">
      <c r="A822" s="255" t="s">
        <v>715</v>
      </c>
      <c r="B822" s="3" t="s">
        <v>225</v>
      </c>
      <c r="C822" s="4" t="s">
        <v>211</v>
      </c>
      <c r="D822" s="4" t="s">
        <v>668</v>
      </c>
      <c r="E822" s="318" t="s">
        <v>1099</v>
      </c>
      <c r="F822" s="4" t="s">
        <v>714</v>
      </c>
      <c r="G822" s="11">
        <f t="shared" si="178"/>
        <v>11767.0708</v>
      </c>
      <c r="H822" s="11">
        <f t="shared" si="178"/>
        <v>15880.55</v>
      </c>
      <c r="I822" s="11">
        <f t="shared" si="178"/>
        <v>15533.75</v>
      </c>
    </row>
    <row r="823" spans="1:16" ht="25.15" customHeight="1" x14ac:dyDescent="0.25">
      <c r="A823" s="255" t="s">
        <v>124</v>
      </c>
      <c r="B823" s="3" t="s">
        <v>225</v>
      </c>
      <c r="C823" s="4" t="s">
        <v>211</v>
      </c>
      <c r="D823" s="4" t="s">
        <v>668</v>
      </c>
      <c r="E823" s="318" t="s">
        <v>1099</v>
      </c>
      <c r="F823" s="4" t="s">
        <v>165</v>
      </c>
      <c r="G823" s="11">
        <f>'5'!D103</f>
        <v>11767.0708</v>
      </c>
      <c r="H823" s="11">
        <f>'5'!E103</f>
        <v>15880.55</v>
      </c>
      <c r="I823" s="11">
        <f>'5'!F103</f>
        <v>15533.75</v>
      </c>
    </row>
    <row r="824" spans="1:16" ht="54.75" customHeight="1" x14ac:dyDescent="0.25">
      <c r="A824" s="266" t="s">
        <v>1074</v>
      </c>
      <c r="B824" s="3" t="s">
        <v>225</v>
      </c>
      <c r="C824" s="4" t="s">
        <v>211</v>
      </c>
      <c r="D824" s="4" t="s">
        <v>668</v>
      </c>
      <c r="E824" s="78" t="s">
        <v>1073</v>
      </c>
      <c r="F824" s="78" t="s">
        <v>222</v>
      </c>
      <c r="G824" s="99">
        <f>G825</f>
        <v>0</v>
      </c>
      <c r="H824" s="99">
        <f t="shared" ref="H824:I825" si="179">H825</f>
        <v>38</v>
      </c>
      <c r="I824" s="99">
        <f t="shared" si="179"/>
        <v>38</v>
      </c>
    </row>
    <row r="825" spans="1:16" ht="48.75" customHeight="1" x14ac:dyDescent="0.25">
      <c r="A825" s="255" t="s">
        <v>715</v>
      </c>
      <c r="B825" s="3" t="s">
        <v>225</v>
      </c>
      <c r="C825" s="4" t="s">
        <v>211</v>
      </c>
      <c r="D825" s="4" t="s">
        <v>668</v>
      </c>
      <c r="E825" s="6" t="s">
        <v>1073</v>
      </c>
      <c r="F825" s="6" t="s">
        <v>714</v>
      </c>
      <c r="G825" s="11">
        <f>G826</f>
        <v>0</v>
      </c>
      <c r="H825" s="11">
        <f t="shared" si="179"/>
        <v>38</v>
      </c>
      <c r="I825" s="11">
        <f t="shared" si="179"/>
        <v>38</v>
      </c>
    </row>
    <row r="826" spans="1:16" ht="25.15" customHeight="1" x14ac:dyDescent="0.25">
      <c r="A826" s="255" t="s">
        <v>124</v>
      </c>
      <c r="B826" s="3" t="s">
        <v>225</v>
      </c>
      <c r="C826" s="4" t="s">
        <v>211</v>
      </c>
      <c r="D826" s="4" t="s">
        <v>668</v>
      </c>
      <c r="E826" s="6" t="s">
        <v>1073</v>
      </c>
      <c r="F826" s="6" t="s">
        <v>165</v>
      </c>
      <c r="G826" s="11">
        <f>'5'!D104</f>
        <v>0</v>
      </c>
      <c r="H826" s="11">
        <f>'5'!E104</f>
        <v>38</v>
      </c>
      <c r="I826" s="11">
        <f>'5'!F104</f>
        <v>38</v>
      </c>
    </row>
    <row r="827" spans="1:16" ht="20.25" customHeight="1" x14ac:dyDescent="0.25">
      <c r="A827" s="303" t="s">
        <v>815</v>
      </c>
      <c r="B827" s="185" t="s">
        <v>225</v>
      </c>
      <c r="C827" s="184" t="s">
        <v>211</v>
      </c>
      <c r="D827" s="184" t="s">
        <v>111</v>
      </c>
      <c r="E827" s="185" t="s">
        <v>666</v>
      </c>
      <c r="F827" s="184" t="s">
        <v>222</v>
      </c>
      <c r="G827" s="178">
        <f>G828</f>
        <v>35197.854019999992</v>
      </c>
      <c r="H827" s="178">
        <f t="shared" ref="H827:I827" si="180">H828</f>
        <v>25579.202000000001</v>
      </c>
      <c r="I827" s="178">
        <f t="shared" si="180"/>
        <v>25387</v>
      </c>
    </row>
    <row r="828" spans="1:16" s="47" customFormat="1" ht="45" x14ac:dyDescent="0.25">
      <c r="A828" s="254" t="s">
        <v>724</v>
      </c>
      <c r="B828" s="3" t="s">
        <v>225</v>
      </c>
      <c r="C828" s="4" t="s">
        <v>211</v>
      </c>
      <c r="D828" s="4" t="s">
        <v>111</v>
      </c>
      <c r="E828" s="4" t="s">
        <v>22</v>
      </c>
      <c r="F828" s="4" t="s">
        <v>222</v>
      </c>
      <c r="G828" s="11">
        <f>G830+G834+G838+G845+G831</f>
        <v>35197.854019999992</v>
      </c>
      <c r="H828" s="11">
        <f t="shared" ref="H828:I828" si="181">H830+H834+H838+H845+H831</f>
        <v>25579.202000000001</v>
      </c>
      <c r="I828" s="11">
        <f t="shared" si="181"/>
        <v>25387</v>
      </c>
      <c r="J828" s="47">
        <v>21040.174999999999</v>
      </c>
      <c r="L828" s="7"/>
      <c r="M828" s="7"/>
      <c r="N828" s="7"/>
      <c r="O828" s="7"/>
      <c r="P828" s="7"/>
    </row>
    <row r="829" spans="1:16" ht="33.6" customHeight="1" x14ac:dyDescent="0.25">
      <c r="A829" s="274" t="s">
        <v>805</v>
      </c>
      <c r="B829" s="17" t="s">
        <v>225</v>
      </c>
      <c r="C829" s="6" t="s">
        <v>211</v>
      </c>
      <c r="D829" s="6" t="s">
        <v>111</v>
      </c>
      <c r="E829" s="6" t="s">
        <v>42</v>
      </c>
      <c r="F829" s="6" t="s">
        <v>222</v>
      </c>
      <c r="G829" s="13">
        <f>G830</f>
        <v>32370.771479999996</v>
      </c>
      <c r="H829" s="13">
        <f t="shared" ref="H829:I829" si="182">H830</f>
        <v>23349.132000000001</v>
      </c>
      <c r="I829" s="13">
        <f t="shared" si="182"/>
        <v>23349.132000000001</v>
      </c>
      <c r="J829" s="45">
        <f>J828-G828</f>
        <v>-14157.679019999992</v>
      </c>
    </row>
    <row r="830" spans="1:16" ht="45" x14ac:dyDescent="0.25">
      <c r="A830" s="255" t="s">
        <v>715</v>
      </c>
      <c r="B830" s="17" t="s">
        <v>225</v>
      </c>
      <c r="C830" s="6" t="s">
        <v>211</v>
      </c>
      <c r="D830" s="6" t="s">
        <v>111</v>
      </c>
      <c r="E830" s="6" t="s">
        <v>807</v>
      </c>
      <c r="F830" s="6" t="s">
        <v>714</v>
      </c>
      <c r="G830" s="13">
        <f>G833+G837+G841+G842</f>
        <v>32370.771479999996</v>
      </c>
      <c r="H830" s="13">
        <f t="shared" ref="H830:I830" si="183">H833+H837+H841+H842</f>
        <v>23349.132000000001</v>
      </c>
      <c r="I830" s="13">
        <f t="shared" si="183"/>
        <v>23349.132000000001</v>
      </c>
    </row>
    <row r="831" spans="1:16" ht="48.75" customHeight="1" x14ac:dyDescent="0.25">
      <c r="A831" s="254" t="s">
        <v>982</v>
      </c>
      <c r="B831" s="3" t="s">
        <v>225</v>
      </c>
      <c r="C831" s="4" t="s">
        <v>211</v>
      </c>
      <c r="D831" s="4" t="s">
        <v>111</v>
      </c>
      <c r="E831" s="4" t="s">
        <v>439</v>
      </c>
      <c r="F831" s="4" t="s">
        <v>165</v>
      </c>
      <c r="G831" s="11">
        <f>'5'!D74</f>
        <v>135</v>
      </c>
      <c r="H831" s="11">
        <f>'5'!E74</f>
        <v>0</v>
      </c>
      <c r="I831" s="11">
        <f>'5'!F74</f>
        <v>0</v>
      </c>
    </row>
    <row r="832" spans="1:16" ht="31.9" hidden="1" customHeight="1" x14ac:dyDescent="0.25">
      <c r="A832" s="255" t="s">
        <v>449</v>
      </c>
      <c r="B832" s="17" t="s">
        <v>225</v>
      </c>
      <c r="C832" s="6" t="s">
        <v>211</v>
      </c>
      <c r="D832" s="6" t="s">
        <v>111</v>
      </c>
      <c r="E832" s="6" t="s">
        <v>450</v>
      </c>
      <c r="F832" s="6" t="s">
        <v>165</v>
      </c>
      <c r="G832" s="16"/>
      <c r="H832" s="13">
        <v>0</v>
      </c>
      <c r="I832" s="13">
        <v>0</v>
      </c>
    </row>
    <row r="833" spans="1:9" ht="34.15" customHeight="1" x14ac:dyDescent="0.25">
      <c r="A833" s="255" t="s">
        <v>983</v>
      </c>
      <c r="B833" s="17" t="s">
        <v>225</v>
      </c>
      <c r="C833" s="6" t="s">
        <v>211</v>
      </c>
      <c r="D833" s="6" t="s">
        <v>111</v>
      </c>
      <c r="E833" s="6" t="s">
        <v>43</v>
      </c>
      <c r="F833" s="6" t="s">
        <v>165</v>
      </c>
      <c r="G833" s="11">
        <f>'5'!D75</f>
        <v>12248.599999999999</v>
      </c>
      <c r="H833" s="11">
        <f>'5'!E75</f>
        <v>7974.3330000000005</v>
      </c>
      <c r="I833" s="11">
        <f>'5'!F75</f>
        <v>7974.3330000000005</v>
      </c>
    </row>
    <row r="834" spans="1:9" ht="112.5" customHeight="1" x14ac:dyDescent="0.25">
      <c r="A834" s="254" t="s">
        <v>636</v>
      </c>
      <c r="B834" s="17" t="s">
        <v>225</v>
      </c>
      <c r="C834" s="6" t="s">
        <v>211</v>
      </c>
      <c r="D834" s="6" t="s">
        <v>111</v>
      </c>
      <c r="E834" s="6" t="s">
        <v>532</v>
      </c>
      <c r="F834" s="6" t="s">
        <v>222</v>
      </c>
      <c r="G834" s="11">
        <f>G835</f>
        <v>725.60482000000002</v>
      </c>
      <c r="H834" s="13">
        <f t="shared" ref="G834:I835" si="184">H835</f>
        <v>860.76700000000005</v>
      </c>
      <c r="I834" s="13">
        <f t="shared" si="184"/>
        <v>860.76700000000005</v>
      </c>
    </row>
    <row r="835" spans="1:9" ht="45.6" customHeight="1" x14ac:dyDescent="0.25">
      <c r="A835" s="255" t="s">
        <v>715</v>
      </c>
      <c r="B835" s="17" t="s">
        <v>225</v>
      </c>
      <c r="C835" s="6" t="s">
        <v>211</v>
      </c>
      <c r="D835" s="6" t="s">
        <v>111</v>
      </c>
      <c r="E835" s="6" t="s">
        <v>532</v>
      </c>
      <c r="F835" s="6" t="s">
        <v>714</v>
      </c>
      <c r="G835" s="11">
        <f t="shared" si="184"/>
        <v>725.60482000000002</v>
      </c>
      <c r="H835" s="13">
        <f t="shared" si="184"/>
        <v>860.76700000000005</v>
      </c>
      <c r="I835" s="13">
        <f t="shared" si="184"/>
        <v>860.76700000000005</v>
      </c>
    </row>
    <row r="836" spans="1:9" ht="24" customHeight="1" x14ac:dyDescent="0.25">
      <c r="A836" s="255" t="s">
        <v>984</v>
      </c>
      <c r="B836" s="17" t="s">
        <v>225</v>
      </c>
      <c r="C836" s="6" t="s">
        <v>211</v>
      </c>
      <c r="D836" s="6" t="s">
        <v>111</v>
      </c>
      <c r="E836" s="6" t="s">
        <v>532</v>
      </c>
      <c r="F836" s="6" t="s">
        <v>165</v>
      </c>
      <c r="G836" s="11">
        <f>'3'!F518</f>
        <v>725.60482000000002</v>
      </c>
      <c r="H836" s="11">
        <f>'3'!G518</f>
        <v>860.76700000000005</v>
      </c>
      <c r="I836" s="11">
        <f>'3'!H518</f>
        <v>860.76700000000005</v>
      </c>
    </row>
    <row r="837" spans="1:9" ht="35.25" customHeight="1" x14ac:dyDescent="0.25">
      <c r="A837" s="255" t="s">
        <v>458</v>
      </c>
      <c r="B837" s="17" t="s">
        <v>225</v>
      </c>
      <c r="C837" s="6" t="s">
        <v>211</v>
      </c>
      <c r="D837" s="6" t="s">
        <v>111</v>
      </c>
      <c r="E837" s="6" t="s">
        <v>44</v>
      </c>
      <c r="F837" s="6" t="s">
        <v>165</v>
      </c>
      <c r="G837" s="11">
        <f>'5'!D76</f>
        <v>19040.371479999998</v>
      </c>
      <c r="H837" s="11">
        <f>'3'!G520</f>
        <v>14580.999</v>
      </c>
      <c r="I837" s="11">
        <f>'3'!H520</f>
        <v>14580.999</v>
      </c>
    </row>
    <row r="838" spans="1:9" ht="108" customHeight="1" x14ac:dyDescent="0.25">
      <c r="A838" s="254" t="s">
        <v>636</v>
      </c>
      <c r="B838" s="17" t="s">
        <v>225</v>
      </c>
      <c r="C838" s="6" t="s">
        <v>211</v>
      </c>
      <c r="D838" s="6" t="s">
        <v>111</v>
      </c>
      <c r="E838" s="6" t="s">
        <v>532</v>
      </c>
      <c r="F838" s="6" t="s">
        <v>222</v>
      </c>
      <c r="G838" s="13">
        <f t="shared" ref="G838:I839" si="185">G839</f>
        <v>1005.6285200000001</v>
      </c>
      <c r="H838" s="13">
        <f t="shared" si="185"/>
        <v>1177.1010000000001</v>
      </c>
      <c r="I838" s="13">
        <f t="shared" si="185"/>
        <v>1177.1010000000001</v>
      </c>
    </row>
    <row r="839" spans="1:9" ht="45.6" customHeight="1" x14ac:dyDescent="0.25">
      <c r="A839" s="255" t="s">
        <v>715</v>
      </c>
      <c r="B839" s="17" t="s">
        <v>225</v>
      </c>
      <c r="C839" s="6" t="s">
        <v>211</v>
      </c>
      <c r="D839" s="6" t="s">
        <v>111</v>
      </c>
      <c r="E839" s="6" t="s">
        <v>532</v>
      </c>
      <c r="F839" s="6" t="s">
        <v>714</v>
      </c>
      <c r="G839" s="13">
        <f t="shared" si="185"/>
        <v>1005.6285200000001</v>
      </c>
      <c r="H839" s="13">
        <f t="shared" si="185"/>
        <v>1177.1010000000001</v>
      </c>
      <c r="I839" s="13">
        <f t="shared" si="185"/>
        <v>1177.1010000000001</v>
      </c>
    </row>
    <row r="840" spans="1:9" ht="24" customHeight="1" x14ac:dyDescent="0.25">
      <c r="A840" s="255" t="s">
        <v>124</v>
      </c>
      <c r="B840" s="17" t="s">
        <v>225</v>
      </c>
      <c r="C840" s="6" t="s">
        <v>211</v>
      </c>
      <c r="D840" s="6" t="s">
        <v>111</v>
      </c>
      <c r="E840" s="6" t="s">
        <v>532</v>
      </c>
      <c r="F840" s="6" t="s">
        <v>165</v>
      </c>
      <c r="G840" s="11">
        <f>'3'!F524</f>
        <v>1005.6285200000001</v>
      </c>
      <c r="H840" s="11">
        <f>'3'!G524</f>
        <v>1177.1010000000001</v>
      </c>
      <c r="I840" s="11">
        <f>'3'!H524</f>
        <v>1177.1010000000001</v>
      </c>
    </row>
    <row r="841" spans="1:9" ht="83.25" customHeight="1" x14ac:dyDescent="0.25">
      <c r="A841" s="255" t="s">
        <v>608</v>
      </c>
      <c r="B841" s="17" t="s">
        <v>225</v>
      </c>
      <c r="C841" s="6" t="s">
        <v>211</v>
      </c>
      <c r="D841" s="6" t="s">
        <v>111</v>
      </c>
      <c r="E841" s="6" t="s">
        <v>459</v>
      </c>
      <c r="F841" s="6" t="s">
        <v>165</v>
      </c>
      <c r="G841" s="11">
        <f>'3'!F525</f>
        <v>1031.8</v>
      </c>
      <c r="H841" s="13">
        <f>'3'!G525</f>
        <v>793.8</v>
      </c>
      <c r="I841" s="13">
        <f>'3'!H525</f>
        <v>793.8</v>
      </c>
    </row>
    <row r="842" spans="1:9" ht="46.5" customHeight="1" x14ac:dyDescent="0.25">
      <c r="A842" s="422" t="s">
        <v>449</v>
      </c>
      <c r="B842" s="41" t="s">
        <v>225</v>
      </c>
      <c r="C842" s="23" t="s">
        <v>211</v>
      </c>
      <c r="D842" s="23" t="s">
        <v>111</v>
      </c>
      <c r="E842" s="23" t="s">
        <v>450</v>
      </c>
      <c r="F842" s="23" t="s">
        <v>222</v>
      </c>
      <c r="G842" s="22">
        <f t="shared" ref="G842:I843" si="186">G843</f>
        <v>50</v>
      </c>
      <c r="H842" s="22">
        <f t="shared" si="186"/>
        <v>0</v>
      </c>
      <c r="I842" s="22">
        <f t="shared" si="186"/>
        <v>0</v>
      </c>
    </row>
    <row r="843" spans="1:9" ht="45.75" customHeight="1" x14ac:dyDescent="0.25">
      <c r="A843" s="255" t="s">
        <v>715</v>
      </c>
      <c r="B843" s="17" t="s">
        <v>225</v>
      </c>
      <c r="C843" s="6" t="s">
        <v>211</v>
      </c>
      <c r="D843" s="6" t="s">
        <v>111</v>
      </c>
      <c r="E843" s="6" t="s">
        <v>450</v>
      </c>
      <c r="F843" s="6" t="s">
        <v>714</v>
      </c>
      <c r="G843" s="13">
        <f t="shared" si="186"/>
        <v>50</v>
      </c>
      <c r="H843" s="13">
        <f t="shared" si="186"/>
        <v>0</v>
      </c>
      <c r="I843" s="13">
        <f t="shared" si="186"/>
        <v>0</v>
      </c>
    </row>
    <row r="844" spans="1:9" ht="21" customHeight="1" x14ac:dyDescent="0.25">
      <c r="A844" s="255" t="s">
        <v>124</v>
      </c>
      <c r="B844" s="17" t="s">
        <v>225</v>
      </c>
      <c r="C844" s="6" t="s">
        <v>211</v>
      </c>
      <c r="D844" s="6" t="s">
        <v>111</v>
      </c>
      <c r="E844" s="6" t="s">
        <v>450</v>
      </c>
      <c r="F844" s="6" t="s">
        <v>165</v>
      </c>
      <c r="G844" s="11">
        <f>'5'!D72</f>
        <v>50</v>
      </c>
      <c r="H844" s="11">
        <f>'5'!E72</f>
        <v>0</v>
      </c>
      <c r="I844" s="11">
        <f>'5'!F72</f>
        <v>0</v>
      </c>
    </row>
    <row r="845" spans="1:9" ht="63.75" customHeight="1" x14ac:dyDescent="0.25">
      <c r="A845" s="266" t="s">
        <v>369</v>
      </c>
      <c r="B845" s="17" t="s">
        <v>225</v>
      </c>
      <c r="C845" s="18" t="s">
        <v>211</v>
      </c>
      <c r="D845" s="18" t="s">
        <v>111</v>
      </c>
      <c r="E845" s="6" t="s">
        <v>666</v>
      </c>
      <c r="F845" s="6" t="s">
        <v>222</v>
      </c>
      <c r="G845" s="99">
        <f>G846+G849</f>
        <v>960.8492</v>
      </c>
      <c r="H845" s="99">
        <f t="shared" ref="H845:I845" si="187">H846+H849</f>
        <v>192.202</v>
      </c>
      <c r="I845" s="99">
        <f t="shared" si="187"/>
        <v>0</v>
      </c>
    </row>
    <row r="846" spans="1:9" ht="81.75" customHeight="1" x14ac:dyDescent="0.25">
      <c r="A846" s="255" t="s">
        <v>987</v>
      </c>
      <c r="B846" s="17" t="s">
        <v>225</v>
      </c>
      <c r="C846" s="18" t="s">
        <v>211</v>
      </c>
      <c r="D846" s="18" t="s">
        <v>111</v>
      </c>
      <c r="E846" s="6" t="s">
        <v>835</v>
      </c>
      <c r="F846" s="6" t="s">
        <v>222</v>
      </c>
      <c r="G846" s="11">
        <f>G847</f>
        <v>951.24071000000004</v>
      </c>
      <c r="H846" s="11">
        <f t="shared" ref="H846:I847" si="188">H847</f>
        <v>0</v>
      </c>
      <c r="I846" s="11">
        <f t="shared" si="188"/>
        <v>0</v>
      </c>
    </row>
    <row r="847" spans="1:9" ht="51" customHeight="1" x14ac:dyDescent="0.25">
      <c r="A847" s="255" t="s">
        <v>715</v>
      </c>
      <c r="B847" s="17" t="s">
        <v>225</v>
      </c>
      <c r="C847" s="18" t="s">
        <v>211</v>
      </c>
      <c r="D847" s="18" t="s">
        <v>111</v>
      </c>
      <c r="E847" s="6" t="s">
        <v>835</v>
      </c>
      <c r="F847" s="6" t="s">
        <v>714</v>
      </c>
      <c r="G847" s="11">
        <f>G848</f>
        <v>951.24071000000004</v>
      </c>
      <c r="H847" s="11">
        <f t="shared" si="188"/>
        <v>0</v>
      </c>
      <c r="I847" s="11">
        <f t="shared" si="188"/>
        <v>0</v>
      </c>
    </row>
    <row r="848" spans="1:9" ht="21" customHeight="1" x14ac:dyDescent="0.25">
      <c r="A848" s="255" t="s">
        <v>124</v>
      </c>
      <c r="B848" s="17" t="s">
        <v>225</v>
      </c>
      <c r="C848" s="18" t="s">
        <v>211</v>
      </c>
      <c r="D848" s="18" t="s">
        <v>111</v>
      </c>
      <c r="E848" s="6" t="s">
        <v>835</v>
      </c>
      <c r="F848" s="6" t="s">
        <v>165</v>
      </c>
      <c r="G848" s="11">
        <f>'5'!D80</f>
        <v>951.24071000000004</v>
      </c>
      <c r="H848" s="11">
        <f>'5'!E80</f>
        <v>0</v>
      </c>
      <c r="I848" s="11">
        <f>'5'!F80</f>
        <v>0</v>
      </c>
    </row>
    <row r="849" spans="1:9" ht="114" customHeight="1" x14ac:dyDescent="0.25">
      <c r="A849" s="277" t="s">
        <v>1112</v>
      </c>
      <c r="B849" s="17" t="s">
        <v>111</v>
      </c>
      <c r="C849" s="18" t="s">
        <v>211</v>
      </c>
      <c r="D849" s="18" t="s">
        <v>111</v>
      </c>
      <c r="E849" s="18" t="s">
        <v>1022</v>
      </c>
      <c r="F849" s="18" t="s">
        <v>222</v>
      </c>
      <c r="G849" s="11">
        <f>G850</f>
        <v>9.6084899999999998</v>
      </c>
      <c r="H849" s="11">
        <f t="shared" ref="H849:I850" si="189">H850</f>
        <v>192.202</v>
      </c>
      <c r="I849" s="11">
        <f t="shared" si="189"/>
        <v>0</v>
      </c>
    </row>
    <row r="850" spans="1:9" ht="48" customHeight="1" x14ac:dyDescent="0.25">
      <c r="A850" s="255" t="s">
        <v>715</v>
      </c>
      <c r="B850" s="17" t="s">
        <v>225</v>
      </c>
      <c r="C850" s="6" t="s">
        <v>211</v>
      </c>
      <c r="D850" s="6" t="s">
        <v>111</v>
      </c>
      <c r="E850" s="6" t="s">
        <v>1022</v>
      </c>
      <c r="F850" s="6" t="s">
        <v>714</v>
      </c>
      <c r="G850" s="13">
        <f>G851</f>
        <v>9.6084899999999998</v>
      </c>
      <c r="H850" s="13">
        <f t="shared" si="189"/>
        <v>192.202</v>
      </c>
      <c r="I850" s="13">
        <f t="shared" si="189"/>
        <v>0</v>
      </c>
    </row>
    <row r="851" spans="1:9" ht="25.5" customHeight="1" x14ac:dyDescent="0.25">
      <c r="A851" s="255" t="s">
        <v>124</v>
      </c>
      <c r="B851" s="17" t="s">
        <v>225</v>
      </c>
      <c r="C851" s="6" t="s">
        <v>211</v>
      </c>
      <c r="D851" s="6" t="s">
        <v>111</v>
      </c>
      <c r="E851" s="6" t="s">
        <v>1022</v>
      </c>
      <c r="F851" s="6" t="s">
        <v>165</v>
      </c>
      <c r="G851" s="13">
        <f>'5'!D81</f>
        <v>9.6084899999999998</v>
      </c>
      <c r="H851" s="11">
        <f>'5'!E81</f>
        <v>192.202</v>
      </c>
      <c r="I851" s="13">
        <f>'5'!F81</f>
        <v>0</v>
      </c>
    </row>
    <row r="852" spans="1:9" ht="63.75" hidden="1" customHeight="1" x14ac:dyDescent="0.25">
      <c r="A852" s="277" t="s">
        <v>828</v>
      </c>
      <c r="B852" s="42" t="s">
        <v>225</v>
      </c>
      <c r="C852" s="18" t="s">
        <v>211</v>
      </c>
      <c r="D852" s="18" t="s">
        <v>111</v>
      </c>
      <c r="E852" s="18" t="s">
        <v>470</v>
      </c>
      <c r="F852" s="18" t="s">
        <v>222</v>
      </c>
      <c r="G852" s="15">
        <f t="shared" ref="G852:I853" si="190">G853</f>
        <v>0</v>
      </c>
      <c r="H852" s="15">
        <f t="shared" si="190"/>
        <v>0</v>
      </c>
      <c r="I852" s="15">
        <f t="shared" si="190"/>
        <v>0</v>
      </c>
    </row>
    <row r="853" spans="1:9" ht="45.75" hidden="1" customHeight="1" x14ac:dyDescent="0.25">
      <c r="A853" s="255" t="s">
        <v>715</v>
      </c>
      <c r="B853" s="17" t="s">
        <v>225</v>
      </c>
      <c r="C853" s="6" t="s">
        <v>211</v>
      </c>
      <c r="D853" s="6" t="s">
        <v>111</v>
      </c>
      <c r="E853" s="6" t="s">
        <v>470</v>
      </c>
      <c r="F853" s="6" t="s">
        <v>714</v>
      </c>
      <c r="G853" s="13">
        <f t="shared" si="190"/>
        <v>0</v>
      </c>
      <c r="H853" s="13">
        <f t="shared" si="190"/>
        <v>0</v>
      </c>
      <c r="I853" s="13">
        <f t="shared" si="190"/>
        <v>0</v>
      </c>
    </row>
    <row r="854" spans="1:9" ht="21.75" hidden="1" customHeight="1" x14ac:dyDescent="0.25">
      <c r="A854" s="255" t="s">
        <v>628</v>
      </c>
      <c r="B854" s="17" t="s">
        <v>225</v>
      </c>
      <c r="C854" s="6" t="s">
        <v>211</v>
      </c>
      <c r="D854" s="6" t="s">
        <v>111</v>
      </c>
      <c r="E854" s="6" t="s">
        <v>470</v>
      </c>
      <c r="F854" s="6" t="s">
        <v>165</v>
      </c>
      <c r="G854" s="13"/>
      <c r="H854" s="13"/>
      <c r="I854" s="13"/>
    </row>
    <row r="855" spans="1:9" ht="48.75" customHeight="1" x14ac:dyDescent="0.25">
      <c r="A855" s="301" t="s">
        <v>812</v>
      </c>
      <c r="B855" s="179" t="s">
        <v>225</v>
      </c>
      <c r="C855" s="180" t="s">
        <v>211</v>
      </c>
      <c r="D855" s="180" t="s">
        <v>685</v>
      </c>
      <c r="E855" s="180" t="s">
        <v>22</v>
      </c>
      <c r="F855" s="180" t="s">
        <v>222</v>
      </c>
      <c r="G855" s="181">
        <f>G856+G878</f>
        <v>175</v>
      </c>
      <c r="H855" s="181">
        <f>H856+H878</f>
        <v>105</v>
      </c>
      <c r="I855" s="181">
        <f t="shared" ref="I855" si="191">I856+I878</f>
        <v>105</v>
      </c>
    </row>
    <row r="856" spans="1:9" ht="34.15" customHeight="1" x14ac:dyDescent="0.25">
      <c r="A856" s="274" t="s">
        <v>985</v>
      </c>
      <c r="B856" s="17" t="s">
        <v>225</v>
      </c>
      <c r="C856" s="6" t="s">
        <v>211</v>
      </c>
      <c r="D856" s="6" t="s">
        <v>685</v>
      </c>
      <c r="E856" s="6" t="s">
        <v>48</v>
      </c>
      <c r="F856" s="6" t="s">
        <v>222</v>
      </c>
      <c r="G856" s="13">
        <f>G857</f>
        <v>150</v>
      </c>
      <c r="H856" s="13">
        <f t="shared" ref="H856:I858" si="192">H857</f>
        <v>50</v>
      </c>
      <c r="I856" s="13">
        <f t="shared" si="192"/>
        <v>50</v>
      </c>
    </row>
    <row r="857" spans="1:9" ht="29.45" customHeight="1" x14ac:dyDescent="0.25">
      <c r="A857" s="255" t="s">
        <v>830</v>
      </c>
      <c r="B857" s="17" t="s">
        <v>225</v>
      </c>
      <c r="C857" s="6" t="s">
        <v>211</v>
      </c>
      <c r="D857" s="6" t="s">
        <v>685</v>
      </c>
      <c r="E857" s="6" t="s">
        <v>49</v>
      </c>
      <c r="F857" s="6" t="s">
        <v>222</v>
      </c>
      <c r="G857" s="11">
        <f>G858</f>
        <v>150</v>
      </c>
      <c r="H857" s="13">
        <f t="shared" si="192"/>
        <v>50</v>
      </c>
      <c r="I857" s="13">
        <f t="shared" si="192"/>
        <v>50</v>
      </c>
    </row>
    <row r="858" spans="1:9" ht="45" x14ac:dyDescent="0.25">
      <c r="A858" s="255" t="s">
        <v>715</v>
      </c>
      <c r="B858" s="17" t="s">
        <v>225</v>
      </c>
      <c r="C858" s="6" t="s">
        <v>211</v>
      </c>
      <c r="D858" s="6" t="s">
        <v>685</v>
      </c>
      <c r="E858" s="6" t="s">
        <v>49</v>
      </c>
      <c r="F858" s="6" t="s">
        <v>714</v>
      </c>
      <c r="G858" s="11">
        <f>G859</f>
        <v>150</v>
      </c>
      <c r="H858" s="13">
        <f t="shared" si="192"/>
        <v>50</v>
      </c>
      <c r="I858" s="13">
        <f t="shared" si="192"/>
        <v>50</v>
      </c>
    </row>
    <row r="859" spans="1:9" x14ac:dyDescent="0.25">
      <c r="A859" s="255" t="s">
        <v>124</v>
      </c>
      <c r="B859" s="17" t="s">
        <v>225</v>
      </c>
      <c r="C859" s="6" t="s">
        <v>211</v>
      </c>
      <c r="D859" s="6" t="s">
        <v>685</v>
      </c>
      <c r="E859" s="6" t="s">
        <v>49</v>
      </c>
      <c r="F859" s="6" t="s">
        <v>165</v>
      </c>
      <c r="G859" s="11">
        <f>'5'!D89</f>
        <v>150</v>
      </c>
      <c r="H859" s="11">
        <v>50</v>
      </c>
      <c r="I859" s="11">
        <v>50</v>
      </c>
    </row>
    <row r="860" spans="1:9" ht="45" hidden="1" x14ac:dyDescent="0.25">
      <c r="A860" s="277" t="s">
        <v>986</v>
      </c>
      <c r="B860" s="42" t="s">
        <v>225</v>
      </c>
      <c r="C860" s="18" t="s">
        <v>211</v>
      </c>
      <c r="D860" s="18" t="s">
        <v>211</v>
      </c>
      <c r="E860" s="18" t="s">
        <v>22</v>
      </c>
      <c r="F860" s="18" t="s">
        <v>222</v>
      </c>
      <c r="G860" s="95">
        <f>G861+G869</f>
        <v>0</v>
      </c>
      <c r="H860" s="15">
        <f>H861+H869</f>
        <v>0</v>
      </c>
      <c r="I860" s="15">
        <f>I861+I869</f>
        <v>0</v>
      </c>
    </row>
    <row r="861" spans="1:9" ht="34.15" hidden="1" customHeight="1" x14ac:dyDescent="0.25">
      <c r="A861" s="274" t="s">
        <v>805</v>
      </c>
      <c r="B861" s="17" t="s">
        <v>225</v>
      </c>
      <c r="C861" s="6" t="s">
        <v>211</v>
      </c>
      <c r="D861" s="6" t="s">
        <v>211</v>
      </c>
      <c r="E861" s="6" t="s">
        <v>42</v>
      </c>
      <c r="F861" s="6" t="s">
        <v>222</v>
      </c>
      <c r="G861" s="11">
        <f>G862</f>
        <v>0</v>
      </c>
      <c r="H861" s="13">
        <f>H862</f>
        <v>0</v>
      </c>
      <c r="I861" s="13">
        <f>I862</f>
        <v>0</v>
      </c>
    </row>
    <row r="862" spans="1:9" ht="60" hidden="1" x14ac:dyDescent="0.25">
      <c r="A862" s="277" t="s">
        <v>369</v>
      </c>
      <c r="B862" s="42" t="s">
        <v>225</v>
      </c>
      <c r="C862" s="18" t="s">
        <v>211</v>
      </c>
      <c r="D862" s="18" t="s">
        <v>211</v>
      </c>
      <c r="E862" s="18" t="s">
        <v>666</v>
      </c>
      <c r="F862" s="18" t="s">
        <v>222</v>
      </c>
      <c r="G862" s="95">
        <f>G863+G866</f>
        <v>0</v>
      </c>
      <c r="H862" s="15">
        <f>H863+H866</f>
        <v>0</v>
      </c>
      <c r="I862" s="15">
        <f>I863+I866</f>
        <v>0</v>
      </c>
    </row>
    <row r="863" spans="1:9" ht="75" hidden="1" x14ac:dyDescent="0.25">
      <c r="A863" s="255" t="s">
        <v>987</v>
      </c>
      <c r="B863" s="17" t="s">
        <v>225</v>
      </c>
      <c r="C863" s="6" t="s">
        <v>211</v>
      </c>
      <c r="D863" s="6" t="s">
        <v>211</v>
      </c>
      <c r="E863" s="6" t="s">
        <v>835</v>
      </c>
      <c r="F863" s="6" t="s">
        <v>222</v>
      </c>
      <c r="G863" s="11">
        <f>G864+G866</f>
        <v>0</v>
      </c>
      <c r="H863" s="13">
        <f>H864+H866</f>
        <v>0</v>
      </c>
      <c r="I863" s="13">
        <f>I864+I866</f>
        <v>0</v>
      </c>
    </row>
    <row r="864" spans="1:9" ht="45" hidden="1" x14ac:dyDescent="0.25">
      <c r="A864" s="255" t="s">
        <v>715</v>
      </c>
      <c r="B864" s="17" t="s">
        <v>225</v>
      </c>
      <c r="C864" s="6" t="s">
        <v>211</v>
      </c>
      <c r="D864" s="6" t="s">
        <v>211</v>
      </c>
      <c r="E864" s="6" t="s">
        <v>835</v>
      </c>
      <c r="F864" s="6" t="s">
        <v>714</v>
      </c>
      <c r="G864" s="11">
        <f>G865</f>
        <v>0</v>
      </c>
      <c r="H864" s="13">
        <f>H865</f>
        <v>0</v>
      </c>
      <c r="I864" s="13">
        <f>I865</f>
        <v>0</v>
      </c>
    </row>
    <row r="865" spans="1:9" hidden="1" x14ac:dyDescent="0.25">
      <c r="A865" s="255" t="s">
        <v>124</v>
      </c>
      <c r="B865" s="17" t="s">
        <v>225</v>
      </c>
      <c r="C865" s="6" t="s">
        <v>211</v>
      </c>
      <c r="D865" s="6" t="s">
        <v>211</v>
      </c>
      <c r="E865" s="6" t="s">
        <v>835</v>
      </c>
      <c r="F865" s="6" t="s">
        <v>165</v>
      </c>
      <c r="G865" s="11"/>
      <c r="H865" s="13"/>
      <c r="I865" s="13"/>
    </row>
    <row r="866" spans="1:9" ht="105" hidden="1" x14ac:dyDescent="0.25">
      <c r="A866" s="255" t="s">
        <v>988</v>
      </c>
      <c r="B866" s="17" t="s">
        <v>225</v>
      </c>
      <c r="C866" s="6" t="s">
        <v>211</v>
      </c>
      <c r="D866" s="6" t="s">
        <v>211</v>
      </c>
      <c r="E866" s="6" t="s">
        <v>837</v>
      </c>
      <c r="F866" s="6" t="s">
        <v>222</v>
      </c>
      <c r="G866" s="11">
        <f t="shared" ref="G866:I867" si="193">G867</f>
        <v>0</v>
      </c>
      <c r="H866" s="13">
        <f t="shared" si="193"/>
        <v>0</v>
      </c>
      <c r="I866" s="13">
        <f t="shared" si="193"/>
        <v>0</v>
      </c>
    </row>
    <row r="867" spans="1:9" ht="45" hidden="1" x14ac:dyDescent="0.25">
      <c r="A867" s="255" t="s">
        <v>715</v>
      </c>
      <c r="B867" s="17" t="s">
        <v>225</v>
      </c>
      <c r="C867" s="6" t="s">
        <v>211</v>
      </c>
      <c r="D867" s="6" t="s">
        <v>211</v>
      </c>
      <c r="E867" s="6" t="s">
        <v>837</v>
      </c>
      <c r="F867" s="6" t="s">
        <v>714</v>
      </c>
      <c r="G867" s="11">
        <f t="shared" si="193"/>
        <v>0</v>
      </c>
      <c r="H867" s="13">
        <f t="shared" si="193"/>
        <v>0</v>
      </c>
      <c r="I867" s="13">
        <f t="shared" si="193"/>
        <v>0</v>
      </c>
    </row>
    <row r="868" spans="1:9" hidden="1" x14ac:dyDescent="0.25">
      <c r="A868" s="255" t="s">
        <v>124</v>
      </c>
      <c r="B868" s="17" t="s">
        <v>225</v>
      </c>
      <c r="C868" s="6" t="s">
        <v>211</v>
      </c>
      <c r="D868" s="6" t="s">
        <v>211</v>
      </c>
      <c r="E868" s="6" t="s">
        <v>837</v>
      </c>
      <c r="F868" s="6" t="s">
        <v>165</v>
      </c>
      <c r="G868" s="11"/>
      <c r="H868" s="13"/>
      <c r="I868" s="13"/>
    </row>
    <row r="869" spans="1:9" ht="33" hidden="1" customHeight="1" x14ac:dyDescent="0.25">
      <c r="A869" s="274" t="s">
        <v>249</v>
      </c>
      <c r="B869" s="17" t="s">
        <v>225</v>
      </c>
      <c r="C869" s="6" t="s">
        <v>211</v>
      </c>
      <c r="D869" s="6" t="s">
        <v>211</v>
      </c>
      <c r="E869" s="6" t="s">
        <v>50</v>
      </c>
      <c r="F869" s="6" t="s">
        <v>222</v>
      </c>
      <c r="G869" s="11">
        <f>G870</f>
        <v>0</v>
      </c>
      <c r="H869" s="13">
        <f>H870</f>
        <v>0</v>
      </c>
      <c r="I869" s="13">
        <f>I870</f>
        <v>0</v>
      </c>
    </row>
    <row r="870" spans="1:9" ht="57.6" hidden="1" customHeight="1" x14ac:dyDescent="0.25">
      <c r="A870" s="422" t="s">
        <v>395</v>
      </c>
      <c r="B870" s="41" t="s">
        <v>225</v>
      </c>
      <c r="C870" s="23" t="s">
        <v>211</v>
      </c>
      <c r="D870" s="23" t="s">
        <v>211</v>
      </c>
      <c r="E870" s="23" t="s">
        <v>50</v>
      </c>
      <c r="F870" s="23" t="s">
        <v>222</v>
      </c>
      <c r="G870" s="12">
        <f>G871+G875</f>
        <v>0</v>
      </c>
      <c r="H870" s="22">
        <f>H871+H875</f>
        <v>0</v>
      </c>
      <c r="I870" s="22">
        <f>I871+I875</f>
        <v>0</v>
      </c>
    </row>
    <row r="871" spans="1:9" ht="45" hidden="1" x14ac:dyDescent="0.25">
      <c r="A871" s="255" t="s">
        <v>715</v>
      </c>
      <c r="B871" s="17" t="s">
        <v>225</v>
      </c>
      <c r="C871" s="6" t="s">
        <v>211</v>
      </c>
      <c r="D871" s="6" t="s">
        <v>211</v>
      </c>
      <c r="E871" s="6" t="s">
        <v>51</v>
      </c>
      <c r="F871" s="6" t="s">
        <v>714</v>
      </c>
      <c r="G871" s="11">
        <f>G872</f>
        <v>0</v>
      </c>
      <c r="H871" s="13">
        <f>H872</f>
        <v>0</v>
      </c>
      <c r="I871" s="13">
        <f>I872</f>
        <v>0</v>
      </c>
    </row>
    <row r="872" spans="1:9" hidden="1" x14ac:dyDescent="0.25">
      <c r="A872" s="255" t="s">
        <v>124</v>
      </c>
      <c r="B872" s="17" t="s">
        <v>225</v>
      </c>
      <c r="C872" s="6" t="s">
        <v>211</v>
      </c>
      <c r="D872" s="6" t="s">
        <v>211</v>
      </c>
      <c r="E872" s="6" t="s">
        <v>51</v>
      </c>
      <c r="F872" s="6" t="s">
        <v>165</v>
      </c>
      <c r="G872" s="11"/>
      <c r="H872" s="13"/>
      <c r="I872" s="13"/>
    </row>
    <row r="873" spans="1:9" ht="45" hidden="1" x14ac:dyDescent="0.25">
      <c r="A873" s="255" t="s">
        <v>715</v>
      </c>
      <c r="B873" s="17" t="s">
        <v>225</v>
      </c>
      <c r="C873" s="6" t="s">
        <v>211</v>
      </c>
      <c r="D873" s="6" t="s">
        <v>211</v>
      </c>
      <c r="E873" s="6" t="s">
        <v>51</v>
      </c>
      <c r="F873" s="6" t="s">
        <v>714</v>
      </c>
      <c r="G873" s="11">
        <f>G874</f>
        <v>0</v>
      </c>
      <c r="H873" s="13">
        <f>H874</f>
        <v>0</v>
      </c>
      <c r="I873" s="13">
        <f>I874</f>
        <v>0</v>
      </c>
    </row>
    <row r="874" spans="1:9" hidden="1" x14ac:dyDescent="0.25">
      <c r="A874" s="255" t="s">
        <v>124</v>
      </c>
      <c r="B874" s="17" t="s">
        <v>225</v>
      </c>
      <c r="C874" s="6" t="s">
        <v>211</v>
      </c>
      <c r="D874" s="6" t="s">
        <v>211</v>
      </c>
      <c r="E874" s="6" t="s">
        <v>51</v>
      </c>
      <c r="F874" s="6" t="s">
        <v>165</v>
      </c>
      <c r="G874" s="11"/>
      <c r="H874" s="13"/>
      <c r="I874" s="13"/>
    </row>
    <row r="875" spans="1:9" ht="60" hidden="1" x14ac:dyDescent="0.25">
      <c r="A875" s="255" t="s">
        <v>456</v>
      </c>
      <c r="B875" s="17" t="s">
        <v>225</v>
      </c>
      <c r="C875" s="6" t="s">
        <v>211</v>
      </c>
      <c r="D875" s="6" t="s">
        <v>211</v>
      </c>
      <c r="E875" s="6" t="s">
        <v>455</v>
      </c>
      <c r="F875" s="6" t="s">
        <v>222</v>
      </c>
      <c r="G875" s="11">
        <f t="shared" ref="G875:I876" si="194">G876</f>
        <v>0</v>
      </c>
      <c r="H875" s="13">
        <f t="shared" si="194"/>
        <v>0</v>
      </c>
      <c r="I875" s="13">
        <f t="shared" si="194"/>
        <v>0</v>
      </c>
    </row>
    <row r="876" spans="1:9" ht="45" hidden="1" x14ac:dyDescent="0.25">
      <c r="A876" s="255" t="s">
        <v>715</v>
      </c>
      <c r="B876" s="17" t="s">
        <v>225</v>
      </c>
      <c r="C876" s="6" t="s">
        <v>211</v>
      </c>
      <c r="D876" s="6" t="s">
        <v>211</v>
      </c>
      <c r="E876" s="6" t="s">
        <v>455</v>
      </c>
      <c r="F876" s="6" t="s">
        <v>714</v>
      </c>
      <c r="G876" s="11">
        <f t="shared" si="194"/>
        <v>0</v>
      </c>
      <c r="H876" s="13">
        <f t="shared" si="194"/>
        <v>0</v>
      </c>
      <c r="I876" s="13">
        <f t="shared" si="194"/>
        <v>0</v>
      </c>
    </row>
    <row r="877" spans="1:9" hidden="1" x14ac:dyDescent="0.25">
      <c r="A877" s="255" t="s">
        <v>124</v>
      </c>
      <c r="B877" s="17" t="s">
        <v>225</v>
      </c>
      <c r="C877" s="6" t="s">
        <v>211</v>
      </c>
      <c r="D877" s="6" t="s">
        <v>211</v>
      </c>
      <c r="E877" s="6" t="s">
        <v>455</v>
      </c>
      <c r="F877" s="6" t="s">
        <v>165</v>
      </c>
      <c r="G877" s="11"/>
      <c r="H877" s="13"/>
      <c r="I877" s="13"/>
    </row>
    <row r="878" spans="1:9" ht="45" x14ac:dyDescent="0.25">
      <c r="A878" s="255" t="s">
        <v>1020</v>
      </c>
      <c r="B878" s="17" t="s">
        <v>225</v>
      </c>
      <c r="C878" s="6" t="s">
        <v>211</v>
      </c>
      <c r="D878" s="6" t="s">
        <v>685</v>
      </c>
      <c r="E878" s="6" t="s">
        <v>1017</v>
      </c>
      <c r="F878" s="6" t="s">
        <v>222</v>
      </c>
      <c r="G878" s="11">
        <f t="shared" ref="G878:I879" si="195">G879</f>
        <v>25</v>
      </c>
      <c r="H878" s="13">
        <f t="shared" si="195"/>
        <v>55</v>
      </c>
      <c r="I878" s="13">
        <f t="shared" si="195"/>
        <v>55</v>
      </c>
    </row>
    <row r="879" spans="1:9" ht="30" x14ac:dyDescent="0.25">
      <c r="A879" s="255" t="s">
        <v>676</v>
      </c>
      <c r="B879" s="17" t="s">
        <v>225</v>
      </c>
      <c r="C879" s="6" t="s">
        <v>211</v>
      </c>
      <c r="D879" s="6" t="s">
        <v>685</v>
      </c>
      <c r="E879" s="6" t="s">
        <v>1017</v>
      </c>
      <c r="F879" s="6" t="s">
        <v>677</v>
      </c>
      <c r="G879" s="13">
        <f t="shared" si="195"/>
        <v>25</v>
      </c>
      <c r="H879" s="13">
        <f t="shared" si="195"/>
        <v>55</v>
      </c>
      <c r="I879" s="13">
        <f t="shared" si="195"/>
        <v>55</v>
      </c>
    </row>
    <row r="880" spans="1:9" ht="45" x14ac:dyDescent="0.25">
      <c r="A880" s="255" t="s">
        <v>678</v>
      </c>
      <c r="B880" s="17" t="s">
        <v>225</v>
      </c>
      <c r="C880" s="6" t="s">
        <v>211</v>
      </c>
      <c r="D880" s="6" t="s">
        <v>685</v>
      </c>
      <c r="E880" s="6" t="s">
        <v>1017</v>
      </c>
      <c r="F880" s="6" t="s">
        <v>679</v>
      </c>
      <c r="G880" s="13">
        <f>55-30</f>
        <v>25</v>
      </c>
      <c r="H880" s="13">
        <v>55</v>
      </c>
      <c r="I880" s="13">
        <v>55</v>
      </c>
    </row>
    <row r="881" spans="1:10" ht="18.600000000000001" customHeight="1" x14ac:dyDescent="0.25">
      <c r="A881" s="301" t="s">
        <v>838</v>
      </c>
      <c r="B881" s="179" t="s">
        <v>225</v>
      </c>
      <c r="C881" s="180" t="s">
        <v>211</v>
      </c>
      <c r="D881" s="180" t="s">
        <v>747</v>
      </c>
      <c r="E881" s="180" t="s">
        <v>666</v>
      </c>
      <c r="F881" s="180" t="s">
        <v>222</v>
      </c>
      <c r="G881" s="181">
        <f>G899+G914+G921+G925+G930+G935+G890</f>
        <v>69131.069739999992</v>
      </c>
      <c r="H881" s="181">
        <f>H899+H914+H921+H925+H930+H935+H890+H883</f>
        <v>61406.064180000001</v>
      </c>
      <c r="I881" s="181">
        <f>I899+I914+I921+I925+I930+I935+I890+I883</f>
        <v>57245.5</v>
      </c>
      <c r="J881" s="7">
        <v>55111.359499999999</v>
      </c>
    </row>
    <row r="882" spans="1:10" ht="52.5" customHeight="1" x14ac:dyDescent="0.25">
      <c r="A882" s="277" t="s">
        <v>724</v>
      </c>
      <c r="B882" s="42" t="s">
        <v>225</v>
      </c>
      <c r="C882" s="18" t="s">
        <v>211</v>
      </c>
      <c r="D882" s="18" t="s">
        <v>747</v>
      </c>
      <c r="E882" s="18" t="s">
        <v>666</v>
      </c>
      <c r="F882" s="18" t="s">
        <v>222</v>
      </c>
      <c r="G882" s="15">
        <f>G890+G883</f>
        <v>3323.6412</v>
      </c>
      <c r="H882" s="15">
        <f t="shared" ref="H882:J882" si="196">H890+H883</f>
        <v>10003.36418</v>
      </c>
      <c r="I882" s="15">
        <f t="shared" si="196"/>
        <v>5812.8</v>
      </c>
      <c r="J882" s="15">
        <f t="shared" si="196"/>
        <v>14019.710239999993</v>
      </c>
    </row>
    <row r="883" spans="1:10" ht="141" customHeight="1" x14ac:dyDescent="0.25">
      <c r="A883" s="319" t="s">
        <v>1032</v>
      </c>
      <c r="B883" s="42" t="s">
        <v>225</v>
      </c>
      <c r="C883" s="18" t="s">
        <v>211</v>
      </c>
      <c r="D883" s="18" t="s">
        <v>747</v>
      </c>
      <c r="E883" s="158" t="s">
        <v>42</v>
      </c>
      <c r="F883" s="158" t="s">
        <v>222</v>
      </c>
      <c r="G883" s="95">
        <f>G884+G887</f>
        <v>0</v>
      </c>
      <c r="H883" s="95">
        <f>H884+H887</f>
        <v>4190.5641800000003</v>
      </c>
      <c r="I883" s="95">
        <f>I884+I887</f>
        <v>0</v>
      </c>
    </row>
    <row r="884" spans="1:10" ht="144.75" customHeight="1" x14ac:dyDescent="0.25">
      <c r="A884" s="255" t="s">
        <v>1033</v>
      </c>
      <c r="B884" s="42" t="s">
        <v>225</v>
      </c>
      <c r="C884" s="18" t="s">
        <v>211</v>
      </c>
      <c r="D884" s="18" t="s">
        <v>747</v>
      </c>
      <c r="E884" s="3" t="s">
        <v>1031</v>
      </c>
      <c r="F884" s="158" t="s">
        <v>222</v>
      </c>
      <c r="G884" s="11">
        <f t="shared" ref="G884:I885" si="197">G885</f>
        <v>0</v>
      </c>
      <c r="H884" s="11">
        <f t="shared" si="197"/>
        <v>4148.6585400000004</v>
      </c>
      <c r="I884" s="11">
        <f t="shared" si="197"/>
        <v>0</v>
      </c>
    </row>
    <row r="885" spans="1:10" ht="52.5" customHeight="1" x14ac:dyDescent="0.25">
      <c r="A885" s="254" t="s">
        <v>715</v>
      </c>
      <c r="B885" s="42" t="s">
        <v>225</v>
      </c>
      <c r="C885" s="18" t="s">
        <v>211</v>
      </c>
      <c r="D885" s="18" t="s">
        <v>747</v>
      </c>
      <c r="E885" s="3" t="s">
        <v>1031</v>
      </c>
      <c r="F885" s="158" t="s">
        <v>714</v>
      </c>
      <c r="G885" s="11">
        <f t="shared" si="197"/>
        <v>0</v>
      </c>
      <c r="H885" s="11">
        <f t="shared" si="197"/>
        <v>4148.6585400000004</v>
      </c>
      <c r="I885" s="11">
        <f t="shared" si="197"/>
        <v>0</v>
      </c>
    </row>
    <row r="886" spans="1:10" ht="19.5" customHeight="1" x14ac:dyDescent="0.25">
      <c r="A886" s="254" t="s">
        <v>124</v>
      </c>
      <c r="B886" s="42" t="s">
        <v>225</v>
      </c>
      <c r="C886" s="18" t="s">
        <v>211</v>
      </c>
      <c r="D886" s="18" t="s">
        <v>747</v>
      </c>
      <c r="E886" s="3" t="s">
        <v>1031</v>
      </c>
      <c r="F886" s="158" t="s">
        <v>165</v>
      </c>
      <c r="G886" s="11">
        <f>'5'!D86</f>
        <v>0</v>
      </c>
      <c r="H886" s="11">
        <f>'5'!E86</f>
        <v>4148.6585400000004</v>
      </c>
      <c r="I886" s="11">
        <f>'5'!F86</f>
        <v>0</v>
      </c>
    </row>
    <row r="887" spans="1:10" ht="139.5" customHeight="1" x14ac:dyDescent="0.25">
      <c r="A887" s="271" t="s">
        <v>1034</v>
      </c>
      <c r="B887" s="42" t="s">
        <v>225</v>
      </c>
      <c r="C887" s="18" t="s">
        <v>211</v>
      </c>
      <c r="D887" s="18" t="s">
        <v>747</v>
      </c>
      <c r="E887" s="158" t="s">
        <v>1035</v>
      </c>
      <c r="F887" s="158" t="s">
        <v>222</v>
      </c>
      <c r="G887" s="11">
        <f t="shared" ref="G887:I888" si="198">G888</f>
        <v>0</v>
      </c>
      <c r="H887" s="11">
        <f t="shared" si="198"/>
        <v>41.905639999999998</v>
      </c>
      <c r="I887" s="11">
        <f t="shared" si="198"/>
        <v>0</v>
      </c>
    </row>
    <row r="888" spans="1:10" ht="49.5" customHeight="1" x14ac:dyDescent="0.25">
      <c r="A888" s="254" t="s">
        <v>715</v>
      </c>
      <c r="B888" s="42" t="s">
        <v>225</v>
      </c>
      <c r="C888" s="18" t="s">
        <v>211</v>
      </c>
      <c r="D888" s="18" t="s">
        <v>747</v>
      </c>
      <c r="E888" s="158" t="s">
        <v>1035</v>
      </c>
      <c r="F888" s="158" t="s">
        <v>714</v>
      </c>
      <c r="G888" s="11">
        <f t="shared" si="198"/>
        <v>0</v>
      </c>
      <c r="H888" s="11">
        <f t="shared" si="198"/>
        <v>41.905639999999998</v>
      </c>
      <c r="I888" s="11">
        <f t="shared" si="198"/>
        <v>0</v>
      </c>
    </row>
    <row r="889" spans="1:10" ht="21" customHeight="1" x14ac:dyDescent="0.25">
      <c r="A889" s="254" t="s">
        <v>124</v>
      </c>
      <c r="B889" s="42" t="s">
        <v>225</v>
      </c>
      <c r="C889" s="18" t="s">
        <v>211</v>
      </c>
      <c r="D889" s="18" t="s">
        <v>747</v>
      </c>
      <c r="E889" s="158" t="s">
        <v>1035</v>
      </c>
      <c r="F889" s="158" t="s">
        <v>165</v>
      </c>
      <c r="G889" s="11">
        <f>'5'!D87</f>
        <v>0</v>
      </c>
      <c r="H889" s="11">
        <f>'5'!E87</f>
        <v>41.905639999999998</v>
      </c>
      <c r="I889" s="11">
        <f>'5'!F87</f>
        <v>0</v>
      </c>
    </row>
    <row r="890" spans="1:10" ht="31.9" customHeight="1" x14ac:dyDescent="0.25">
      <c r="A890" s="274" t="s">
        <v>249</v>
      </c>
      <c r="B890" s="17" t="s">
        <v>225</v>
      </c>
      <c r="C890" s="6" t="s">
        <v>211</v>
      </c>
      <c r="D890" s="6" t="s">
        <v>747</v>
      </c>
      <c r="E890" s="6" t="s">
        <v>50</v>
      </c>
      <c r="F890" s="6" t="s">
        <v>222</v>
      </c>
      <c r="G890" s="13">
        <f>G891</f>
        <v>3323.6412</v>
      </c>
      <c r="H890" s="13">
        <f t="shared" ref="H890:I890" si="199">H891</f>
        <v>5812.8</v>
      </c>
      <c r="I890" s="13">
        <f t="shared" si="199"/>
        <v>5812.8</v>
      </c>
      <c r="J890" s="45">
        <f>G881-J881</f>
        <v>14019.710239999993</v>
      </c>
    </row>
    <row r="891" spans="1:10" ht="63.75" customHeight="1" x14ac:dyDescent="0.25">
      <c r="A891" s="255" t="s">
        <v>395</v>
      </c>
      <c r="B891" s="17" t="s">
        <v>225</v>
      </c>
      <c r="C891" s="6" t="s">
        <v>211</v>
      </c>
      <c r="D891" s="6" t="s">
        <v>747</v>
      </c>
      <c r="E891" s="6" t="s">
        <v>50</v>
      </c>
      <c r="F891" s="6" t="s">
        <v>222</v>
      </c>
      <c r="G891" s="13">
        <f>G892+G894+G896</f>
        <v>3323.6412</v>
      </c>
      <c r="H891" s="13">
        <f>H892+H894+H896</f>
        <v>5812.8</v>
      </c>
      <c r="I891" s="13">
        <f>I892+I894+I896</f>
        <v>5812.8</v>
      </c>
    </row>
    <row r="892" spans="1:10" ht="50.25" customHeight="1" x14ac:dyDescent="0.25">
      <c r="A892" s="255" t="s">
        <v>715</v>
      </c>
      <c r="B892" s="17" t="s">
        <v>225</v>
      </c>
      <c r="C892" s="6" t="s">
        <v>211</v>
      </c>
      <c r="D892" s="6" t="s">
        <v>747</v>
      </c>
      <c r="E892" s="6" t="s">
        <v>51</v>
      </c>
      <c r="F892" s="6" t="s">
        <v>714</v>
      </c>
      <c r="G892" s="13">
        <f>G893</f>
        <v>3323.6412</v>
      </c>
      <c r="H892" s="13">
        <f>H893</f>
        <v>5812.8</v>
      </c>
      <c r="I892" s="13">
        <f>I893</f>
        <v>5812.8</v>
      </c>
    </row>
    <row r="893" spans="1:10" ht="18.600000000000001" customHeight="1" x14ac:dyDescent="0.25">
      <c r="A893" s="255" t="s">
        <v>124</v>
      </c>
      <c r="B893" s="17" t="s">
        <v>225</v>
      </c>
      <c r="C893" s="6" t="s">
        <v>211</v>
      </c>
      <c r="D893" s="6" t="s">
        <v>747</v>
      </c>
      <c r="E893" s="6" t="s">
        <v>51</v>
      </c>
      <c r="F893" s="6" t="s">
        <v>165</v>
      </c>
      <c r="G893" s="11">
        <f>'3'!F606</f>
        <v>3323.6412</v>
      </c>
      <c r="H893" s="11">
        <f>'3'!G606</f>
        <v>5812.8</v>
      </c>
      <c r="I893" s="11">
        <f>'3'!H606</f>
        <v>5812.8</v>
      </c>
    </row>
    <row r="894" spans="1:10" ht="18.600000000000001" hidden="1" customHeight="1" x14ac:dyDescent="0.25">
      <c r="A894" s="255" t="s">
        <v>715</v>
      </c>
      <c r="B894" s="17" t="s">
        <v>225</v>
      </c>
      <c r="C894" s="6" t="s">
        <v>211</v>
      </c>
      <c r="D894" s="6" t="s">
        <v>747</v>
      </c>
      <c r="E894" s="6" t="s">
        <v>51</v>
      </c>
      <c r="F894" s="6" t="s">
        <v>714</v>
      </c>
      <c r="G894" s="13">
        <f>G895</f>
        <v>0</v>
      </c>
      <c r="H894" s="13">
        <f>H895</f>
        <v>0</v>
      </c>
      <c r="I894" s="13">
        <f>I895</f>
        <v>0</v>
      </c>
    </row>
    <row r="895" spans="1:10" ht="18.600000000000001" hidden="1" customHeight="1" x14ac:dyDescent="0.25">
      <c r="A895" s="255" t="s">
        <v>124</v>
      </c>
      <c r="B895" s="17" t="s">
        <v>225</v>
      </c>
      <c r="C895" s="6" t="s">
        <v>211</v>
      </c>
      <c r="D895" s="6" t="s">
        <v>747</v>
      </c>
      <c r="E895" s="6" t="s">
        <v>51</v>
      </c>
      <c r="F895" s="6" t="s">
        <v>165</v>
      </c>
      <c r="G895" s="13"/>
      <c r="H895" s="13"/>
      <c r="I895" s="13"/>
    </row>
    <row r="896" spans="1:10" ht="64.5" hidden="1" customHeight="1" x14ac:dyDescent="0.25">
      <c r="A896" s="255" t="s">
        <v>456</v>
      </c>
      <c r="B896" s="17" t="s">
        <v>225</v>
      </c>
      <c r="C896" s="6" t="s">
        <v>211</v>
      </c>
      <c r="D896" s="6" t="s">
        <v>747</v>
      </c>
      <c r="E896" s="6" t="s">
        <v>455</v>
      </c>
      <c r="F896" s="6" t="s">
        <v>222</v>
      </c>
      <c r="G896" s="13">
        <f t="shared" ref="G896:I897" si="200">G897</f>
        <v>0</v>
      </c>
      <c r="H896" s="13">
        <f t="shared" si="200"/>
        <v>0</v>
      </c>
      <c r="I896" s="13">
        <f t="shared" si="200"/>
        <v>0</v>
      </c>
    </row>
    <row r="897" spans="1:9" ht="18.600000000000001" hidden="1" customHeight="1" x14ac:dyDescent="0.25">
      <c r="A897" s="255" t="s">
        <v>715</v>
      </c>
      <c r="B897" s="17" t="s">
        <v>225</v>
      </c>
      <c r="C897" s="6" t="s">
        <v>211</v>
      </c>
      <c r="D897" s="6" t="s">
        <v>747</v>
      </c>
      <c r="E897" s="6" t="s">
        <v>455</v>
      </c>
      <c r="F897" s="6" t="s">
        <v>714</v>
      </c>
      <c r="G897" s="13">
        <f t="shared" si="200"/>
        <v>0</v>
      </c>
      <c r="H897" s="13">
        <f t="shared" si="200"/>
        <v>0</v>
      </c>
      <c r="I897" s="13">
        <f t="shared" si="200"/>
        <v>0</v>
      </c>
    </row>
    <row r="898" spans="1:9" ht="18.600000000000001" hidden="1" customHeight="1" x14ac:dyDescent="0.25">
      <c r="A898" s="255" t="s">
        <v>124</v>
      </c>
      <c r="B898" s="17" t="s">
        <v>225</v>
      </c>
      <c r="C898" s="6" t="s">
        <v>211</v>
      </c>
      <c r="D898" s="6" t="s">
        <v>747</v>
      </c>
      <c r="E898" s="6" t="s">
        <v>455</v>
      </c>
      <c r="F898" s="6" t="s">
        <v>165</v>
      </c>
      <c r="G898" s="13"/>
      <c r="H898" s="13"/>
      <c r="I898" s="13"/>
    </row>
    <row r="899" spans="1:9" ht="50.25" customHeight="1" x14ac:dyDescent="0.25">
      <c r="A899" s="277" t="s">
        <v>724</v>
      </c>
      <c r="B899" s="42" t="s">
        <v>225</v>
      </c>
      <c r="C899" s="18" t="s">
        <v>211</v>
      </c>
      <c r="D899" s="18" t="s">
        <v>747</v>
      </c>
      <c r="E899" s="18" t="s">
        <v>22</v>
      </c>
      <c r="F899" s="18" t="s">
        <v>222</v>
      </c>
      <c r="G899" s="15">
        <f>G900</f>
        <v>62944.009539999992</v>
      </c>
      <c r="H899" s="15">
        <f>H900</f>
        <v>48772.7</v>
      </c>
      <c r="I899" s="15">
        <f>I900</f>
        <v>48772.7</v>
      </c>
    </row>
    <row r="900" spans="1:9" ht="41.25" customHeight="1" x14ac:dyDescent="0.25">
      <c r="A900" s="274" t="s">
        <v>839</v>
      </c>
      <c r="B900" s="17" t="s">
        <v>225</v>
      </c>
      <c r="C900" s="6" t="s">
        <v>211</v>
      </c>
      <c r="D900" s="6" t="s">
        <v>747</v>
      </c>
      <c r="E900" s="6" t="s">
        <v>53</v>
      </c>
      <c r="F900" s="6" t="s">
        <v>222</v>
      </c>
      <c r="G900" s="13">
        <f>G901+G909</f>
        <v>62944.009539999992</v>
      </c>
      <c r="H900" s="13">
        <f>H901+H909</f>
        <v>48772.7</v>
      </c>
      <c r="I900" s="13">
        <f>I901+I909</f>
        <v>48772.7</v>
      </c>
    </row>
    <row r="901" spans="1:9" ht="66.75" customHeight="1" x14ac:dyDescent="0.25">
      <c r="A901" s="255" t="s">
        <v>989</v>
      </c>
      <c r="B901" s="17" t="s">
        <v>225</v>
      </c>
      <c r="C901" s="6" t="s">
        <v>211</v>
      </c>
      <c r="D901" s="6" t="s">
        <v>747</v>
      </c>
      <c r="E901" s="6" t="s">
        <v>53</v>
      </c>
      <c r="F901" s="6" t="s">
        <v>222</v>
      </c>
      <c r="G901" s="13">
        <f>G902+G904+G906</f>
        <v>62944.009539999992</v>
      </c>
      <c r="H901" s="13">
        <f>H902+H904+H906</f>
        <v>48772.7</v>
      </c>
      <c r="I901" s="13">
        <f>I902+I904+I906</f>
        <v>48772.7</v>
      </c>
    </row>
    <row r="902" spans="1:9" ht="93" customHeight="1" x14ac:dyDescent="0.25">
      <c r="A902" s="255" t="s">
        <v>670</v>
      </c>
      <c r="B902" s="17" t="s">
        <v>225</v>
      </c>
      <c r="C902" s="6" t="s">
        <v>211</v>
      </c>
      <c r="D902" s="6" t="s">
        <v>747</v>
      </c>
      <c r="E902" s="6" t="s">
        <v>53</v>
      </c>
      <c r="F902" s="6" t="s">
        <v>671</v>
      </c>
      <c r="G902" s="11">
        <f>G903</f>
        <v>53785.159999999989</v>
      </c>
      <c r="H902" s="13">
        <f>H903</f>
        <v>45292.1</v>
      </c>
      <c r="I902" s="13">
        <f>I903</f>
        <v>45292.1</v>
      </c>
    </row>
    <row r="903" spans="1:9" ht="33" customHeight="1" x14ac:dyDescent="0.25">
      <c r="A903" s="255" t="s">
        <v>841</v>
      </c>
      <c r="B903" s="17" t="s">
        <v>225</v>
      </c>
      <c r="C903" s="6" t="s">
        <v>211</v>
      </c>
      <c r="D903" s="6" t="s">
        <v>747</v>
      </c>
      <c r="E903" s="6" t="s">
        <v>53</v>
      </c>
      <c r="F903" s="6" t="s">
        <v>842</v>
      </c>
      <c r="G903" s="11">
        <f>'5'!D94-G904-G908</f>
        <v>53785.159999999989</v>
      </c>
      <c r="H903" s="11">
        <f>'5'!E94-H904-H908</f>
        <v>45292.1</v>
      </c>
      <c r="I903" s="11">
        <f>'5'!F94-I904-I908</f>
        <v>45292.1</v>
      </c>
    </row>
    <row r="904" spans="1:9" ht="33" customHeight="1" x14ac:dyDescent="0.25">
      <c r="A904" s="255" t="s">
        <v>676</v>
      </c>
      <c r="B904" s="17" t="s">
        <v>225</v>
      </c>
      <c r="C904" s="6" t="s">
        <v>211</v>
      </c>
      <c r="D904" s="6" t="s">
        <v>747</v>
      </c>
      <c r="E904" s="6" t="s">
        <v>53</v>
      </c>
      <c r="F904" s="6" t="s">
        <v>677</v>
      </c>
      <c r="G904" s="11">
        <f>G905</f>
        <v>9128.8495400000011</v>
      </c>
      <c r="H904" s="13">
        <f>H905</f>
        <v>3450.6</v>
      </c>
      <c r="I904" s="13">
        <f>I905</f>
        <v>3450.6</v>
      </c>
    </row>
    <row r="905" spans="1:9" ht="50.25" customHeight="1" x14ac:dyDescent="0.25">
      <c r="A905" s="255" t="s">
        <v>678</v>
      </c>
      <c r="B905" s="17" t="s">
        <v>225</v>
      </c>
      <c r="C905" s="6" t="s">
        <v>211</v>
      </c>
      <c r="D905" s="6" t="s">
        <v>747</v>
      </c>
      <c r="E905" s="6" t="s">
        <v>53</v>
      </c>
      <c r="F905" s="6" t="s">
        <v>679</v>
      </c>
      <c r="G905" s="11">
        <f>'3'!F612</f>
        <v>9128.8495400000011</v>
      </c>
      <c r="H905" s="11">
        <f>'3'!G612</f>
        <v>3450.6</v>
      </c>
      <c r="I905" s="11">
        <f>'3'!H612</f>
        <v>3450.6</v>
      </c>
    </row>
    <row r="906" spans="1:9" ht="20.25" customHeight="1" x14ac:dyDescent="0.25">
      <c r="A906" s="255" t="s">
        <v>680</v>
      </c>
      <c r="B906" s="17" t="s">
        <v>225</v>
      </c>
      <c r="C906" s="6" t="s">
        <v>211</v>
      </c>
      <c r="D906" s="6" t="s">
        <v>747</v>
      </c>
      <c r="E906" s="6" t="s">
        <v>53</v>
      </c>
      <c r="F906" s="6" t="s">
        <v>681</v>
      </c>
      <c r="G906" s="11">
        <f>G907+G908</f>
        <v>30</v>
      </c>
      <c r="H906" s="11">
        <f>H907+H908</f>
        <v>30</v>
      </c>
      <c r="I906" s="11">
        <f>I907+I908</f>
        <v>30</v>
      </c>
    </row>
    <row r="907" spans="1:9" ht="20.25" customHeight="1" x14ac:dyDescent="0.25">
      <c r="A907" s="255" t="s">
        <v>720</v>
      </c>
      <c r="B907" s="17" t="s">
        <v>225</v>
      </c>
      <c r="C907" s="6" t="s">
        <v>211</v>
      </c>
      <c r="D907" s="6" t="s">
        <v>747</v>
      </c>
      <c r="E907" s="6" t="s">
        <v>53</v>
      </c>
      <c r="F907" s="6" t="s">
        <v>721</v>
      </c>
      <c r="G907" s="11">
        <v>0</v>
      </c>
      <c r="H907" s="11">
        <v>0</v>
      </c>
      <c r="I907" s="11">
        <v>0</v>
      </c>
    </row>
    <row r="908" spans="1:9" ht="20.25" customHeight="1" x14ac:dyDescent="0.25">
      <c r="A908" s="255" t="s">
        <v>682</v>
      </c>
      <c r="B908" s="17" t="s">
        <v>225</v>
      </c>
      <c r="C908" s="6" t="s">
        <v>211</v>
      </c>
      <c r="D908" s="6" t="s">
        <v>747</v>
      </c>
      <c r="E908" s="6" t="s">
        <v>53</v>
      </c>
      <c r="F908" s="6" t="s">
        <v>683</v>
      </c>
      <c r="G908" s="11">
        <f>'3'!F615</f>
        <v>30</v>
      </c>
      <c r="H908" s="11">
        <f>'3'!G615</f>
        <v>30</v>
      </c>
      <c r="I908" s="11">
        <f>'3'!H615</f>
        <v>30</v>
      </c>
    </row>
    <row r="909" spans="1:9" ht="49.9" hidden="1" customHeight="1" x14ac:dyDescent="0.25">
      <c r="A909" s="310" t="s">
        <v>587</v>
      </c>
      <c r="B909" s="3" t="s">
        <v>225</v>
      </c>
      <c r="C909" s="4" t="s">
        <v>211</v>
      </c>
      <c r="D909" s="4" t="s">
        <v>747</v>
      </c>
      <c r="E909" s="4" t="s">
        <v>53</v>
      </c>
      <c r="F909" s="4" t="s">
        <v>222</v>
      </c>
      <c r="G909" s="11">
        <f>G910+G912</f>
        <v>0</v>
      </c>
      <c r="H909" s="11">
        <f>H910+H912</f>
        <v>0</v>
      </c>
      <c r="I909" s="11">
        <f>I910+I912</f>
        <v>0</v>
      </c>
    </row>
    <row r="910" spans="1:9" ht="73.900000000000006" hidden="1" customHeight="1" x14ac:dyDescent="0.25">
      <c r="A910" s="254" t="s">
        <v>670</v>
      </c>
      <c r="B910" s="3" t="s">
        <v>225</v>
      </c>
      <c r="C910" s="4" t="s">
        <v>211</v>
      </c>
      <c r="D910" s="4" t="s">
        <v>747</v>
      </c>
      <c r="E910" s="4" t="s">
        <v>53</v>
      </c>
      <c r="F910" s="4" t="s">
        <v>671</v>
      </c>
      <c r="G910" s="11">
        <f>G911</f>
        <v>0</v>
      </c>
      <c r="H910" s="11">
        <f>H911</f>
        <v>0</v>
      </c>
      <c r="I910" s="11">
        <f>I911</f>
        <v>0</v>
      </c>
    </row>
    <row r="911" spans="1:9" ht="29.45" hidden="1" customHeight="1" x14ac:dyDescent="0.25">
      <c r="A911" s="254" t="s">
        <v>841</v>
      </c>
      <c r="B911" s="3" t="s">
        <v>225</v>
      </c>
      <c r="C911" s="4" t="s">
        <v>211</v>
      </c>
      <c r="D911" s="4" t="s">
        <v>747</v>
      </c>
      <c r="E911" s="4" t="s">
        <v>53</v>
      </c>
      <c r="F911" s="4" t="s">
        <v>842</v>
      </c>
      <c r="G911" s="11">
        <f>'5'!D95</f>
        <v>0</v>
      </c>
      <c r="H911" s="11">
        <f>'5'!E95</f>
        <v>0</v>
      </c>
      <c r="I911" s="11">
        <f>'5'!F95</f>
        <v>0</v>
      </c>
    </row>
    <row r="912" spans="1:9" ht="30" hidden="1" x14ac:dyDescent="0.25">
      <c r="A912" s="255" t="s">
        <v>676</v>
      </c>
      <c r="B912" s="17" t="s">
        <v>225</v>
      </c>
      <c r="C912" s="6" t="s">
        <v>211</v>
      </c>
      <c r="D912" s="6" t="s">
        <v>747</v>
      </c>
      <c r="E912" s="6" t="s">
        <v>53</v>
      </c>
      <c r="F912" s="6" t="s">
        <v>677</v>
      </c>
      <c r="G912" s="11">
        <f>G913</f>
        <v>0</v>
      </c>
      <c r="H912" s="11">
        <f>H913</f>
        <v>0</v>
      </c>
      <c r="I912" s="11">
        <f>I913</f>
        <v>0</v>
      </c>
    </row>
    <row r="913" spans="1:10" ht="45" hidden="1" x14ac:dyDescent="0.25">
      <c r="A913" s="255" t="s">
        <v>678</v>
      </c>
      <c r="B913" s="17" t="s">
        <v>225</v>
      </c>
      <c r="C913" s="6" t="s">
        <v>211</v>
      </c>
      <c r="D913" s="6" t="s">
        <v>747</v>
      </c>
      <c r="E913" s="6" t="s">
        <v>53</v>
      </c>
      <c r="F913" s="6" t="s">
        <v>679</v>
      </c>
      <c r="G913" s="11">
        <v>0</v>
      </c>
      <c r="H913" s="11">
        <v>0</v>
      </c>
      <c r="I913" s="11">
        <v>0</v>
      </c>
    </row>
    <row r="914" spans="1:10" ht="60" x14ac:dyDescent="0.25">
      <c r="A914" s="277" t="s">
        <v>1125</v>
      </c>
      <c r="B914" s="42" t="s">
        <v>225</v>
      </c>
      <c r="C914" s="18" t="s">
        <v>211</v>
      </c>
      <c r="D914" s="18" t="s">
        <v>747</v>
      </c>
      <c r="E914" s="18" t="s">
        <v>54</v>
      </c>
      <c r="F914" s="18" t="s">
        <v>222</v>
      </c>
      <c r="G914" s="95">
        <f>G915+G919</f>
        <v>1465</v>
      </c>
      <c r="H914" s="95">
        <f>H915+H919</f>
        <v>1048</v>
      </c>
      <c r="I914" s="95">
        <f>I915+I919</f>
        <v>1078</v>
      </c>
    </row>
    <row r="915" spans="1:10" x14ac:dyDescent="0.25">
      <c r="A915" s="255" t="s">
        <v>215</v>
      </c>
      <c r="B915" s="17" t="s">
        <v>225</v>
      </c>
      <c r="C915" s="6" t="s">
        <v>211</v>
      </c>
      <c r="D915" s="6" t="s">
        <v>747</v>
      </c>
      <c r="E915" s="6" t="s">
        <v>843</v>
      </c>
      <c r="F915" s="6" t="s">
        <v>222</v>
      </c>
      <c r="G915" s="11">
        <f>G916+G918</f>
        <v>600</v>
      </c>
      <c r="H915" s="11">
        <f t="shared" ref="H915:J915" si="201">H916+H918</f>
        <v>758</v>
      </c>
      <c r="I915" s="11">
        <f t="shared" si="201"/>
        <v>778</v>
      </c>
      <c r="J915" s="13">
        <f t="shared" si="201"/>
        <v>0</v>
      </c>
    </row>
    <row r="916" spans="1:10" ht="30" x14ac:dyDescent="0.25">
      <c r="A916" s="255" t="s">
        <v>676</v>
      </c>
      <c r="B916" s="17" t="s">
        <v>225</v>
      </c>
      <c r="C916" s="6" t="s">
        <v>211</v>
      </c>
      <c r="D916" s="6" t="s">
        <v>747</v>
      </c>
      <c r="E916" s="6" t="s">
        <v>843</v>
      </c>
      <c r="F916" s="6" t="s">
        <v>677</v>
      </c>
      <c r="G916" s="11">
        <f>G917</f>
        <v>3</v>
      </c>
      <c r="H916" s="11">
        <f>H917</f>
        <v>236</v>
      </c>
      <c r="I916" s="11">
        <f>I917</f>
        <v>256</v>
      </c>
    </row>
    <row r="917" spans="1:10" ht="45" x14ac:dyDescent="0.25">
      <c r="A917" s="255" t="s">
        <v>678</v>
      </c>
      <c r="B917" s="17" t="s">
        <v>225</v>
      </c>
      <c r="C917" s="6" t="s">
        <v>211</v>
      </c>
      <c r="D917" s="6" t="s">
        <v>747</v>
      </c>
      <c r="E917" s="6" t="s">
        <v>55</v>
      </c>
      <c r="F917" s="6" t="s">
        <v>679</v>
      </c>
      <c r="G917" s="11">
        <f>'5'!D109-522-75</f>
        <v>3</v>
      </c>
      <c r="H917" s="11">
        <f>'5'!E109-522</f>
        <v>236</v>
      </c>
      <c r="I917" s="11">
        <f>'5'!F109-522</f>
        <v>256</v>
      </c>
      <c r="J917" s="13" t="e">
        <f>'5'!#REF!</f>
        <v>#REF!</v>
      </c>
    </row>
    <row r="918" spans="1:10" x14ac:dyDescent="0.25">
      <c r="A918" s="254" t="s">
        <v>1080</v>
      </c>
      <c r="B918" s="3" t="s">
        <v>225</v>
      </c>
      <c r="C918" s="4" t="s">
        <v>211</v>
      </c>
      <c r="D918" s="4" t="s">
        <v>747</v>
      </c>
      <c r="E918" s="4" t="s">
        <v>55</v>
      </c>
      <c r="F918" s="4" t="s">
        <v>842</v>
      </c>
      <c r="G918" s="11">
        <f>522+75</f>
        <v>597</v>
      </c>
      <c r="H918" s="11">
        <v>522</v>
      </c>
      <c r="I918" s="11">
        <v>522</v>
      </c>
      <c r="J918" s="56"/>
    </row>
    <row r="919" spans="1:10" ht="45" x14ac:dyDescent="0.25">
      <c r="A919" s="255" t="s">
        <v>715</v>
      </c>
      <c r="B919" s="17" t="s">
        <v>225</v>
      </c>
      <c r="C919" s="6" t="s">
        <v>211</v>
      </c>
      <c r="D919" s="6" t="s">
        <v>747</v>
      </c>
      <c r="E919" s="6" t="s">
        <v>843</v>
      </c>
      <c r="F919" s="6" t="s">
        <v>714</v>
      </c>
      <c r="G919" s="11">
        <f>G920</f>
        <v>865</v>
      </c>
      <c r="H919" s="11">
        <f>H920</f>
        <v>290</v>
      </c>
      <c r="I919" s="11">
        <f>I920</f>
        <v>300</v>
      </c>
    </row>
    <row r="920" spans="1:10" ht="30" x14ac:dyDescent="0.25">
      <c r="A920" s="255" t="s">
        <v>806</v>
      </c>
      <c r="B920" s="17" t="s">
        <v>225</v>
      </c>
      <c r="C920" s="6" t="s">
        <v>211</v>
      </c>
      <c r="D920" s="6" t="s">
        <v>747</v>
      </c>
      <c r="E920" s="6" t="s">
        <v>56</v>
      </c>
      <c r="F920" s="6" t="s">
        <v>165</v>
      </c>
      <c r="G920" s="11">
        <f>'5'!D110</f>
        <v>865</v>
      </c>
      <c r="H920" s="11">
        <f>'5'!E110</f>
        <v>290</v>
      </c>
      <c r="I920" s="11">
        <f>'5'!F110</f>
        <v>300</v>
      </c>
    </row>
    <row r="921" spans="1:10" ht="64.5" customHeight="1" x14ac:dyDescent="0.25">
      <c r="A921" s="277" t="s">
        <v>596</v>
      </c>
      <c r="B921" s="42" t="s">
        <v>225</v>
      </c>
      <c r="C921" s="18" t="s">
        <v>211</v>
      </c>
      <c r="D921" s="18" t="s">
        <v>747</v>
      </c>
      <c r="E921" s="18" t="s">
        <v>26</v>
      </c>
      <c r="F921" s="18" t="s">
        <v>222</v>
      </c>
      <c r="G921" s="95">
        <f>G922</f>
        <v>660</v>
      </c>
      <c r="H921" s="95">
        <f t="shared" ref="H921:I923" si="202">H922</f>
        <v>1032</v>
      </c>
      <c r="I921" s="95">
        <f t="shared" si="202"/>
        <v>1032</v>
      </c>
    </row>
    <row r="922" spans="1:10" x14ac:dyDescent="0.25">
      <c r="A922" s="255" t="s">
        <v>215</v>
      </c>
      <c r="B922" s="17" t="s">
        <v>225</v>
      </c>
      <c r="C922" s="6" t="s">
        <v>211</v>
      </c>
      <c r="D922" s="6" t="s">
        <v>747</v>
      </c>
      <c r="E922" s="6" t="s">
        <v>735</v>
      </c>
      <c r="F922" s="6" t="s">
        <v>222</v>
      </c>
      <c r="G922" s="13">
        <f>G923+G928</f>
        <v>660</v>
      </c>
      <c r="H922" s="13">
        <f>H923+H928</f>
        <v>1032</v>
      </c>
      <c r="I922" s="13">
        <f>I923+I928</f>
        <v>1032</v>
      </c>
    </row>
    <row r="923" spans="1:10" ht="30" x14ac:dyDescent="0.25">
      <c r="A923" s="255" t="s">
        <v>676</v>
      </c>
      <c r="B923" s="17" t="s">
        <v>225</v>
      </c>
      <c r="C923" s="6" t="s">
        <v>211</v>
      </c>
      <c r="D923" s="6" t="s">
        <v>747</v>
      </c>
      <c r="E923" s="6" t="s">
        <v>57</v>
      </c>
      <c r="F923" s="6" t="s">
        <v>677</v>
      </c>
      <c r="G923" s="13">
        <f>G924</f>
        <v>3</v>
      </c>
      <c r="H923" s="13">
        <f t="shared" si="202"/>
        <v>4</v>
      </c>
      <c r="I923" s="13">
        <f t="shared" si="202"/>
        <v>4</v>
      </c>
    </row>
    <row r="924" spans="1:10" ht="45" x14ac:dyDescent="0.25">
      <c r="A924" s="255" t="s">
        <v>678</v>
      </c>
      <c r="B924" s="17" t="s">
        <v>225</v>
      </c>
      <c r="C924" s="6" t="s">
        <v>211</v>
      </c>
      <c r="D924" s="6" t="s">
        <v>747</v>
      </c>
      <c r="E924" s="4" t="s">
        <v>57</v>
      </c>
      <c r="F924" s="4" t="s">
        <v>679</v>
      </c>
      <c r="G924" s="11">
        <f>'5'!D116</f>
        <v>3</v>
      </c>
      <c r="H924" s="11">
        <f>'5'!E116</f>
        <v>4</v>
      </c>
      <c r="I924" s="11">
        <f>'5'!F116</f>
        <v>4</v>
      </c>
    </row>
    <row r="925" spans="1:10" ht="21" hidden="1" customHeight="1" x14ac:dyDescent="0.25">
      <c r="A925" s="277"/>
      <c r="B925" s="17"/>
      <c r="C925" s="6"/>
      <c r="D925" s="6"/>
      <c r="E925" s="4"/>
      <c r="F925" s="158"/>
      <c r="G925" s="95"/>
      <c r="H925" s="95"/>
      <c r="I925" s="95"/>
    </row>
    <row r="926" spans="1:10" hidden="1" x14ac:dyDescent="0.25">
      <c r="A926" s="255"/>
      <c r="B926" s="17"/>
      <c r="C926" s="6"/>
      <c r="D926" s="6"/>
      <c r="E926" s="4"/>
      <c r="F926" s="4"/>
      <c r="G926" s="11"/>
      <c r="H926" s="11"/>
      <c r="I926" s="11"/>
    </row>
    <row r="927" spans="1:10" hidden="1" x14ac:dyDescent="0.25">
      <c r="A927" s="255"/>
      <c r="B927" s="17"/>
      <c r="C927" s="6"/>
      <c r="D927" s="6"/>
      <c r="E927" s="4"/>
      <c r="F927" s="4"/>
      <c r="G927" s="11"/>
      <c r="H927" s="11"/>
      <c r="I927" s="11"/>
    </row>
    <row r="928" spans="1:10" ht="45" x14ac:dyDescent="0.25">
      <c r="A928" s="255" t="s">
        <v>715</v>
      </c>
      <c r="B928" s="17" t="s">
        <v>225</v>
      </c>
      <c r="C928" s="6" t="s">
        <v>211</v>
      </c>
      <c r="D928" s="6" t="s">
        <v>747</v>
      </c>
      <c r="E928" s="4" t="s">
        <v>57</v>
      </c>
      <c r="F928" s="4" t="s">
        <v>714</v>
      </c>
      <c r="G928" s="11">
        <f>G929</f>
        <v>657</v>
      </c>
      <c r="H928" s="11">
        <f>H929</f>
        <v>1028</v>
      </c>
      <c r="I928" s="11">
        <f>I929</f>
        <v>1028</v>
      </c>
    </row>
    <row r="929" spans="1:10" x14ac:dyDescent="0.25">
      <c r="A929" s="255" t="s">
        <v>124</v>
      </c>
      <c r="B929" s="17" t="s">
        <v>225</v>
      </c>
      <c r="C929" s="6" t="s">
        <v>211</v>
      </c>
      <c r="D929" s="6" t="s">
        <v>747</v>
      </c>
      <c r="E929" s="4" t="s">
        <v>57</v>
      </c>
      <c r="F929" s="4" t="s">
        <v>165</v>
      </c>
      <c r="G929" s="11">
        <f>'5'!D117</f>
        <v>657</v>
      </c>
      <c r="H929" s="11">
        <f>'5'!E117</f>
        <v>1028</v>
      </c>
      <c r="I929" s="11">
        <f>'5'!F117</f>
        <v>1028</v>
      </c>
    </row>
    <row r="930" spans="1:10" ht="92.25" customHeight="1" x14ac:dyDescent="0.25">
      <c r="A930" s="277" t="s">
        <v>779</v>
      </c>
      <c r="B930" s="42" t="s">
        <v>225</v>
      </c>
      <c r="C930" s="18" t="s">
        <v>211</v>
      </c>
      <c r="D930" s="18" t="s">
        <v>747</v>
      </c>
      <c r="E930" s="18" t="s">
        <v>666</v>
      </c>
      <c r="F930" s="18" t="s">
        <v>222</v>
      </c>
      <c r="G930" s="15">
        <f>G931+G933</f>
        <v>738.4190000000001</v>
      </c>
      <c r="H930" s="15">
        <f>H931+H933</f>
        <v>550</v>
      </c>
      <c r="I930" s="15">
        <f>I931+I933</f>
        <v>550</v>
      </c>
    </row>
    <row r="931" spans="1:10" ht="34.9" customHeight="1" x14ac:dyDescent="0.25">
      <c r="A931" s="255" t="s">
        <v>676</v>
      </c>
      <c r="B931" s="17" t="s">
        <v>225</v>
      </c>
      <c r="C931" s="6" t="s">
        <v>211</v>
      </c>
      <c r="D931" s="6" t="s">
        <v>747</v>
      </c>
      <c r="E931" s="6" t="s">
        <v>454</v>
      </c>
      <c r="F931" s="6" t="s">
        <v>677</v>
      </c>
      <c r="G931" s="13">
        <f>G932</f>
        <v>10</v>
      </c>
      <c r="H931" s="13">
        <f>H932</f>
        <v>0</v>
      </c>
      <c r="I931" s="13">
        <f>I932</f>
        <v>0</v>
      </c>
    </row>
    <row r="932" spans="1:10" ht="46.15" customHeight="1" x14ac:dyDescent="0.25">
      <c r="A932" s="255" t="s">
        <v>678</v>
      </c>
      <c r="B932" s="17" t="s">
        <v>225</v>
      </c>
      <c r="C932" s="6" t="s">
        <v>211</v>
      </c>
      <c r="D932" s="6" t="s">
        <v>747</v>
      </c>
      <c r="E932" s="6" t="s">
        <v>454</v>
      </c>
      <c r="F932" s="6" t="s">
        <v>679</v>
      </c>
      <c r="G932" s="13">
        <f>'5'!D214</f>
        <v>10</v>
      </c>
      <c r="H932" s="13">
        <f>'5'!E214</f>
        <v>0</v>
      </c>
      <c r="I932" s="13">
        <f>'5'!F214</f>
        <v>0</v>
      </c>
    </row>
    <row r="933" spans="1:10" ht="52.5" customHeight="1" x14ac:dyDescent="0.25">
      <c r="A933" s="255" t="s">
        <v>715</v>
      </c>
      <c r="B933" s="17" t="s">
        <v>225</v>
      </c>
      <c r="C933" s="6" t="s">
        <v>211</v>
      </c>
      <c r="D933" s="6" t="s">
        <v>747</v>
      </c>
      <c r="E933" s="6" t="s">
        <v>285</v>
      </c>
      <c r="F933" s="6" t="s">
        <v>714</v>
      </c>
      <c r="G933" s="13">
        <f>G934</f>
        <v>728.4190000000001</v>
      </c>
      <c r="H933" s="13">
        <f>H934</f>
        <v>550</v>
      </c>
      <c r="I933" s="13">
        <f>I934</f>
        <v>550</v>
      </c>
    </row>
    <row r="934" spans="1:10" ht="28.9" customHeight="1" x14ac:dyDescent="0.25">
      <c r="A934" s="255" t="s">
        <v>806</v>
      </c>
      <c r="B934" s="17" t="s">
        <v>225</v>
      </c>
      <c r="C934" s="6" t="s">
        <v>211</v>
      </c>
      <c r="D934" s="6" t="s">
        <v>747</v>
      </c>
      <c r="E934" s="6" t="s">
        <v>285</v>
      </c>
      <c r="F934" s="6" t="s">
        <v>165</v>
      </c>
      <c r="G934" s="13">
        <f>'5'!D211</f>
        <v>728.4190000000001</v>
      </c>
      <c r="H934" s="13">
        <f>'5'!E211</f>
        <v>550</v>
      </c>
      <c r="I934" s="13">
        <f>'5'!F211</f>
        <v>550</v>
      </c>
      <c r="J934" s="13" t="e">
        <f>'5'!#REF!</f>
        <v>#REF!</v>
      </c>
    </row>
    <row r="935" spans="1:10" ht="28.9" hidden="1" customHeight="1" x14ac:dyDescent="0.25">
      <c r="A935" s="254" t="s">
        <v>669</v>
      </c>
      <c r="B935" s="3" t="s">
        <v>225</v>
      </c>
      <c r="C935" s="4" t="s">
        <v>211</v>
      </c>
      <c r="D935" s="4" t="s">
        <v>747</v>
      </c>
      <c r="E935" s="4" t="s">
        <v>5</v>
      </c>
      <c r="F935" s="4" t="s">
        <v>222</v>
      </c>
      <c r="G935" s="11">
        <f>G936</f>
        <v>0</v>
      </c>
      <c r="H935" s="11">
        <f t="shared" ref="H935:I938" si="203">H936</f>
        <v>0</v>
      </c>
      <c r="I935" s="11">
        <f t="shared" si="203"/>
        <v>0</v>
      </c>
    </row>
    <row r="936" spans="1:10" ht="42" hidden="1" customHeight="1" x14ac:dyDescent="0.25">
      <c r="A936" s="254" t="s">
        <v>110</v>
      </c>
      <c r="B936" s="3" t="s">
        <v>225</v>
      </c>
      <c r="C936" s="4" t="s">
        <v>211</v>
      </c>
      <c r="D936" s="4" t="s">
        <v>747</v>
      </c>
      <c r="E936" s="4" t="s">
        <v>6</v>
      </c>
      <c r="F936" s="4" t="s">
        <v>222</v>
      </c>
      <c r="G936" s="11">
        <f>G937</f>
        <v>0</v>
      </c>
      <c r="H936" s="11">
        <f t="shared" si="203"/>
        <v>0</v>
      </c>
      <c r="I936" s="11">
        <f t="shared" si="203"/>
        <v>0</v>
      </c>
    </row>
    <row r="937" spans="1:10" ht="16.149999999999999" hidden="1" customHeight="1" x14ac:dyDescent="0.25">
      <c r="A937" s="254" t="s">
        <v>451</v>
      </c>
      <c r="B937" s="3" t="s">
        <v>225</v>
      </c>
      <c r="C937" s="4" t="s">
        <v>211</v>
      </c>
      <c r="D937" s="4" t="s">
        <v>747</v>
      </c>
      <c r="E937" s="4" t="s">
        <v>452</v>
      </c>
      <c r="F937" s="4" t="s">
        <v>222</v>
      </c>
      <c r="G937" s="11">
        <f>G938</f>
        <v>0</v>
      </c>
      <c r="H937" s="11">
        <f t="shared" si="203"/>
        <v>0</v>
      </c>
      <c r="I937" s="11">
        <f t="shared" si="203"/>
        <v>0</v>
      </c>
    </row>
    <row r="938" spans="1:10" ht="28.9" hidden="1" customHeight="1" x14ac:dyDescent="0.25">
      <c r="A938" s="254" t="s">
        <v>676</v>
      </c>
      <c r="B938" s="3" t="s">
        <v>225</v>
      </c>
      <c r="C938" s="4" t="s">
        <v>211</v>
      </c>
      <c r="D938" s="4" t="s">
        <v>747</v>
      </c>
      <c r="E938" s="4" t="s">
        <v>452</v>
      </c>
      <c r="F938" s="4" t="s">
        <v>677</v>
      </c>
      <c r="G938" s="11">
        <f>G939</f>
        <v>0</v>
      </c>
      <c r="H938" s="11">
        <f t="shared" si="203"/>
        <v>0</v>
      </c>
      <c r="I938" s="11">
        <f t="shared" si="203"/>
        <v>0</v>
      </c>
    </row>
    <row r="939" spans="1:10" ht="41.45" hidden="1" customHeight="1" x14ac:dyDescent="0.25">
      <c r="A939" s="254" t="s">
        <v>678</v>
      </c>
      <c r="B939" s="3" t="s">
        <v>225</v>
      </c>
      <c r="C939" s="4" t="s">
        <v>211</v>
      </c>
      <c r="D939" s="4" t="s">
        <v>747</v>
      </c>
      <c r="E939" s="4" t="s">
        <v>452</v>
      </c>
      <c r="F939" s="4" t="s">
        <v>679</v>
      </c>
      <c r="G939" s="11">
        <v>0</v>
      </c>
      <c r="H939" s="11">
        <v>0</v>
      </c>
      <c r="I939" s="11">
        <v>0</v>
      </c>
    </row>
    <row r="940" spans="1:10" ht="28.9" hidden="1" customHeight="1" x14ac:dyDescent="0.25">
      <c r="A940" s="255"/>
      <c r="B940" s="17" t="s">
        <v>225</v>
      </c>
      <c r="C940" s="6"/>
      <c r="D940" s="6"/>
      <c r="E940" s="6"/>
      <c r="F940" s="6"/>
      <c r="G940" s="13"/>
      <c r="H940" s="13"/>
      <c r="I940" s="13"/>
    </row>
    <row r="941" spans="1:10" ht="28.9" hidden="1" customHeight="1" x14ac:dyDescent="0.25">
      <c r="A941" s="255"/>
      <c r="B941" s="17"/>
      <c r="C941" s="6"/>
      <c r="D941" s="6"/>
      <c r="E941" s="6"/>
      <c r="F941" s="6"/>
      <c r="G941" s="13"/>
      <c r="H941" s="13"/>
      <c r="I941" s="13"/>
    </row>
    <row r="942" spans="1:10" ht="28.9" hidden="1" customHeight="1" x14ac:dyDescent="0.25">
      <c r="A942" s="255"/>
      <c r="B942" s="17"/>
      <c r="C942" s="6"/>
      <c r="D942" s="6"/>
      <c r="E942" s="6"/>
      <c r="F942" s="6"/>
      <c r="G942" s="13"/>
      <c r="H942" s="13"/>
      <c r="I942" s="13"/>
    </row>
    <row r="943" spans="1:10" ht="2.25" customHeight="1" x14ac:dyDescent="0.25">
      <c r="A943" s="255"/>
      <c r="B943" s="17"/>
      <c r="C943" s="6"/>
      <c r="D943" s="6"/>
      <c r="E943" s="6"/>
      <c r="F943" s="6"/>
      <c r="G943" s="13"/>
      <c r="H943" s="13"/>
      <c r="I943" s="13"/>
    </row>
    <row r="944" spans="1:10" x14ac:dyDescent="0.25">
      <c r="A944" s="303" t="s">
        <v>875</v>
      </c>
      <c r="B944" s="185" t="s">
        <v>225</v>
      </c>
      <c r="C944" s="184" t="s">
        <v>127</v>
      </c>
      <c r="D944" s="184" t="s">
        <v>109</v>
      </c>
      <c r="E944" s="184" t="s">
        <v>666</v>
      </c>
      <c r="F944" s="184" t="s">
        <v>222</v>
      </c>
      <c r="G944" s="178">
        <f>G945+G949</f>
        <v>3528.4970000000003</v>
      </c>
      <c r="H944" s="178">
        <f>H945+H949</f>
        <v>7601.61</v>
      </c>
      <c r="I944" s="178">
        <f>I945+I949</f>
        <v>6710.7650000000003</v>
      </c>
      <c r="J944" s="7">
        <v>8763.6550000000007</v>
      </c>
    </row>
    <row r="945" spans="1:10" x14ac:dyDescent="0.25">
      <c r="A945" s="301" t="s">
        <v>332</v>
      </c>
      <c r="B945" s="179" t="s">
        <v>225</v>
      </c>
      <c r="C945" s="180" t="s">
        <v>127</v>
      </c>
      <c r="D945" s="180" t="s">
        <v>111</v>
      </c>
      <c r="E945" s="180" t="s">
        <v>666</v>
      </c>
      <c r="F945" s="180" t="s">
        <v>222</v>
      </c>
      <c r="G945" s="181">
        <f t="shared" ref="G945:I947" si="204">G946</f>
        <v>440.4</v>
      </c>
      <c r="H945" s="181">
        <f t="shared" si="204"/>
        <v>1130</v>
      </c>
      <c r="I945" s="181">
        <f t="shared" si="204"/>
        <v>0</v>
      </c>
      <c r="J945" s="45">
        <f>J944-G944</f>
        <v>5235.1580000000004</v>
      </c>
    </row>
    <row r="946" spans="1:10" ht="94.5" customHeight="1" x14ac:dyDescent="0.25">
      <c r="A946" s="277" t="s">
        <v>333</v>
      </c>
      <c r="B946" s="17" t="s">
        <v>225</v>
      </c>
      <c r="C946" s="6" t="s">
        <v>127</v>
      </c>
      <c r="D946" s="6" t="s">
        <v>111</v>
      </c>
      <c r="E946" s="18" t="s">
        <v>35</v>
      </c>
      <c r="F946" s="18" t="s">
        <v>222</v>
      </c>
      <c r="G946" s="15">
        <f t="shared" si="204"/>
        <v>440.4</v>
      </c>
      <c r="H946" s="15">
        <f t="shared" si="204"/>
        <v>1130</v>
      </c>
      <c r="I946" s="15">
        <f t="shared" si="204"/>
        <v>0</v>
      </c>
    </row>
    <row r="947" spans="1:10" ht="30" x14ac:dyDescent="0.25">
      <c r="A947" s="255" t="s">
        <v>832</v>
      </c>
      <c r="B947" s="17" t="s">
        <v>225</v>
      </c>
      <c r="C947" s="6" t="s">
        <v>127</v>
      </c>
      <c r="D947" s="6" t="s">
        <v>111</v>
      </c>
      <c r="E947" s="6" t="s">
        <v>461</v>
      </c>
      <c r="F947" s="6" t="s">
        <v>833</v>
      </c>
      <c r="G947" s="13">
        <f t="shared" si="204"/>
        <v>440.4</v>
      </c>
      <c r="H947" s="13">
        <f t="shared" si="204"/>
        <v>1130</v>
      </c>
      <c r="I947" s="13">
        <f t="shared" si="204"/>
        <v>0</v>
      </c>
    </row>
    <row r="948" spans="1:10" ht="31.15" customHeight="1" x14ac:dyDescent="0.25">
      <c r="A948" s="255" t="s">
        <v>122</v>
      </c>
      <c r="B948" s="17" t="s">
        <v>225</v>
      </c>
      <c r="C948" s="6" t="s">
        <v>127</v>
      </c>
      <c r="D948" s="6" t="s">
        <v>111</v>
      </c>
      <c r="E948" s="6" t="s">
        <v>461</v>
      </c>
      <c r="F948" s="6" t="s">
        <v>878</v>
      </c>
      <c r="G948" s="13">
        <f>'5'!D51</f>
        <v>440.4</v>
      </c>
      <c r="H948" s="13">
        <f>'5'!E51</f>
        <v>1130</v>
      </c>
      <c r="I948" s="13">
        <f>'5'!F51</f>
        <v>0</v>
      </c>
    </row>
    <row r="949" spans="1:10" ht="18" customHeight="1" x14ac:dyDescent="0.25">
      <c r="A949" s="301" t="s">
        <v>216</v>
      </c>
      <c r="B949" s="179" t="s">
        <v>225</v>
      </c>
      <c r="C949" s="180" t="s">
        <v>127</v>
      </c>
      <c r="D949" s="180" t="s">
        <v>113</v>
      </c>
      <c r="E949" s="180" t="s">
        <v>666</v>
      </c>
      <c r="F949" s="180" t="s">
        <v>222</v>
      </c>
      <c r="G949" s="181">
        <f>G950+G958</f>
        <v>3088.0970000000002</v>
      </c>
      <c r="H949" s="181">
        <f>H950+H958+H951</f>
        <v>6471.61</v>
      </c>
      <c r="I949" s="181">
        <f>I950+I958+I951</f>
        <v>6710.7650000000003</v>
      </c>
    </row>
    <row r="950" spans="1:10" ht="48" customHeight="1" x14ac:dyDescent="0.25">
      <c r="A950" s="277" t="s">
        <v>724</v>
      </c>
      <c r="B950" s="42" t="s">
        <v>225</v>
      </c>
      <c r="C950" s="18" t="s">
        <v>127</v>
      </c>
      <c r="D950" s="18" t="s">
        <v>109</v>
      </c>
      <c r="E950" s="18" t="s">
        <v>22</v>
      </c>
      <c r="F950" s="18" t="s">
        <v>222</v>
      </c>
      <c r="G950" s="13">
        <f>G954+G951</f>
        <v>2788.3670000000002</v>
      </c>
      <c r="H950" s="13">
        <f>H954</f>
        <v>5971.61</v>
      </c>
      <c r="I950" s="13">
        <f>I954</f>
        <v>6210.7650000000003</v>
      </c>
    </row>
    <row r="951" spans="1:10" ht="53.25" customHeight="1" x14ac:dyDescent="0.25">
      <c r="A951" s="274" t="s">
        <v>882</v>
      </c>
      <c r="B951" s="17" t="s">
        <v>225</v>
      </c>
      <c r="C951" s="6" t="s">
        <v>127</v>
      </c>
      <c r="D951" s="6" t="s">
        <v>113</v>
      </c>
      <c r="E951" s="18" t="s">
        <v>324</v>
      </c>
      <c r="F951" s="18" t="s">
        <v>222</v>
      </c>
      <c r="G951" s="13">
        <f t="shared" ref="G951:I952" si="205">G952</f>
        <v>235</v>
      </c>
      <c r="H951" s="13">
        <f t="shared" si="205"/>
        <v>200</v>
      </c>
      <c r="I951" s="13">
        <f t="shared" si="205"/>
        <v>200</v>
      </c>
    </row>
    <row r="952" spans="1:10" ht="123" customHeight="1" x14ac:dyDescent="0.25">
      <c r="A952" s="277" t="s">
        <v>883</v>
      </c>
      <c r="B952" s="17" t="s">
        <v>225</v>
      </c>
      <c r="C952" s="6" t="s">
        <v>127</v>
      </c>
      <c r="D952" s="6" t="s">
        <v>113</v>
      </c>
      <c r="E952" s="18" t="s">
        <v>324</v>
      </c>
      <c r="F952" s="18" t="s">
        <v>833</v>
      </c>
      <c r="G952" s="13">
        <f t="shared" si="205"/>
        <v>235</v>
      </c>
      <c r="H952" s="13">
        <f t="shared" si="205"/>
        <v>200</v>
      </c>
      <c r="I952" s="13">
        <f t="shared" si="205"/>
        <v>200</v>
      </c>
    </row>
    <row r="953" spans="1:10" ht="40.5" customHeight="1" x14ac:dyDescent="0.25">
      <c r="A953" s="254" t="s">
        <v>122</v>
      </c>
      <c r="B953" s="3" t="s">
        <v>225</v>
      </c>
      <c r="C953" s="4" t="s">
        <v>127</v>
      </c>
      <c r="D953" s="4" t="s">
        <v>113</v>
      </c>
      <c r="E953" s="158" t="s">
        <v>324</v>
      </c>
      <c r="F953" s="158" t="s">
        <v>878</v>
      </c>
      <c r="G953" s="11">
        <f>'3'!F801</f>
        <v>235</v>
      </c>
      <c r="H953" s="11">
        <f>'3'!G801</f>
        <v>200</v>
      </c>
      <c r="I953" s="11">
        <f>'3'!H801</f>
        <v>200</v>
      </c>
    </row>
    <row r="954" spans="1:10" ht="51.75" customHeight="1" x14ac:dyDescent="0.25">
      <c r="A954" s="274" t="s">
        <v>790</v>
      </c>
      <c r="B954" s="17" t="s">
        <v>225</v>
      </c>
      <c r="C954" s="6" t="s">
        <v>127</v>
      </c>
      <c r="D954" s="6" t="s">
        <v>113</v>
      </c>
      <c r="E954" s="6" t="s">
        <v>31</v>
      </c>
      <c r="F954" s="6" t="s">
        <v>222</v>
      </c>
      <c r="G954" s="11">
        <f>G955</f>
        <v>2553.3670000000002</v>
      </c>
      <c r="H954" s="13">
        <f>H955</f>
        <v>5971.61</v>
      </c>
      <c r="I954" s="13">
        <f>I955</f>
        <v>6210.7650000000003</v>
      </c>
    </row>
    <row r="955" spans="1:10" ht="81" customHeight="1" x14ac:dyDescent="0.25">
      <c r="A955" s="255" t="s">
        <v>129</v>
      </c>
      <c r="B955" s="17" t="s">
        <v>225</v>
      </c>
      <c r="C955" s="6" t="s">
        <v>127</v>
      </c>
      <c r="D955" s="6" t="s">
        <v>113</v>
      </c>
      <c r="E955" s="6" t="s">
        <v>70</v>
      </c>
      <c r="F955" s="6" t="s">
        <v>222</v>
      </c>
      <c r="G955" s="11">
        <f>G957+G956</f>
        <v>2553.3670000000002</v>
      </c>
      <c r="H955" s="13">
        <f>H957+H956</f>
        <v>5971.61</v>
      </c>
      <c r="I955" s="13">
        <f>I957+I956</f>
        <v>6210.7650000000003</v>
      </c>
    </row>
    <row r="956" spans="1:10" ht="50.25" customHeight="1" x14ac:dyDescent="0.25">
      <c r="A956" s="255" t="s">
        <v>678</v>
      </c>
      <c r="B956" s="17" t="s">
        <v>225</v>
      </c>
      <c r="C956" s="6" t="s">
        <v>127</v>
      </c>
      <c r="D956" s="6" t="s">
        <v>113</v>
      </c>
      <c r="E956" s="6" t="s">
        <v>70</v>
      </c>
      <c r="F956" s="6" t="s">
        <v>679</v>
      </c>
      <c r="G956" s="11">
        <f>'3'!F804</f>
        <v>38.3005</v>
      </c>
      <c r="H956" s="13">
        <f>'3'!G804</f>
        <v>89.575000000000003</v>
      </c>
      <c r="I956" s="13">
        <f>'3'!H804</f>
        <v>93.162000000000006</v>
      </c>
      <c r="J956" s="329">
        <f>6623.655*1.5%</f>
        <v>99.354824999999991</v>
      </c>
    </row>
    <row r="957" spans="1:10" ht="36" customHeight="1" x14ac:dyDescent="0.25">
      <c r="A957" s="255" t="s">
        <v>120</v>
      </c>
      <c r="B957" s="17" t="s">
        <v>225</v>
      </c>
      <c r="C957" s="6" t="s">
        <v>127</v>
      </c>
      <c r="D957" s="6" t="s">
        <v>113</v>
      </c>
      <c r="E957" s="6" t="s">
        <v>70</v>
      </c>
      <c r="F957" s="84">
        <v>310</v>
      </c>
      <c r="G957" s="11">
        <f>'3'!F805</f>
        <v>2515.0665000000004</v>
      </c>
      <c r="H957" s="13">
        <f>'3'!G805</f>
        <v>5882.0349999999999</v>
      </c>
      <c r="I957" s="13">
        <f>'3'!H805</f>
        <v>6117.6030000000001</v>
      </c>
      <c r="J957" s="329">
        <f>6623.655-99.35483</f>
        <v>6524.3001699999995</v>
      </c>
    </row>
    <row r="958" spans="1:10" ht="53.25" customHeight="1" x14ac:dyDescent="0.25">
      <c r="A958" s="277" t="s">
        <v>812</v>
      </c>
      <c r="B958" s="17" t="s">
        <v>225</v>
      </c>
      <c r="C958" s="6" t="s">
        <v>127</v>
      </c>
      <c r="D958" s="6" t="s">
        <v>113</v>
      </c>
      <c r="E958" s="18" t="s">
        <v>22</v>
      </c>
      <c r="F958" s="18" t="s">
        <v>222</v>
      </c>
      <c r="G958" s="13">
        <f>G959</f>
        <v>299.73</v>
      </c>
      <c r="H958" s="13">
        <f t="shared" ref="H958:I960" si="206">H959</f>
        <v>300</v>
      </c>
      <c r="I958" s="13">
        <f t="shared" si="206"/>
        <v>300</v>
      </c>
    </row>
    <row r="959" spans="1:10" ht="33" customHeight="1" x14ac:dyDescent="0.25">
      <c r="A959" s="274" t="s">
        <v>249</v>
      </c>
      <c r="B959" s="17" t="s">
        <v>225</v>
      </c>
      <c r="C959" s="6" t="s">
        <v>127</v>
      </c>
      <c r="D959" s="6" t="s">
        <v>113</v>
      </c>
      <c r="E959" s="6" t="s">
        <v>50</v>
      </c>
      <c r="F959" s="6" t="s">
        <v>222</v>
      </c>
      <c r="G959" s="13">
        <f>G960</f>
        <v>299.73</v>
      </c>
      <c r="H959" s="13">
        <f t="shared" si="206"/>
        <v>300</v>
      </c>
      <c r="I959" s="13">
        <f t="shared" si="206"/>
        <v>300</v>
      </c>
    </row>
    <row r="960" spans="1:10" ht="76.5" customHeight="1" x14ac:dyDescent="0.25">
      <c r="A960" s="422" t="s">
        <v>395</v>
      </c>
      <c r="B960" s="41" t="s">
        <v>225</v>
      </c>
      <c r="C960" s="23" t="s">
        <v>127</v>
      </c>
      <c r="D960" s="23" t="s">
        <v>113</v>
      </c>
      <c r="E960" s="23" t="s">
        <v>50</v>
      </c>
      <c r="F960" s="23" t="s">
        <v>222</v>
      </c>
      <c r="G960" s="22">
        <f>G961</f>
        <v>299.73</v>
      </c>
      <c r="H960" s="22">
        <f t="shared" si="206"/>
        <v>300</v>
      </c>
      <c r="I960" s="22">
        <f t="shared" si="206"/>
        <v>300</v>
      </c>
    </row>
    <row r="961" spans="1:9" ht="33" customHeight="1" x14ac:dyDescent="0.25">
      <c r="A961" s="255" t="s">
        <v>832</v>
      </c>
      <c r="B961" s="17" t="s">
        <v>225</v>
      </c>
      <c r="C961" s="6" t="s">
        <v>127</v>
      </c>
      <c r="D961" s="6" t="s">
        <v>113</v>
      </c>
      <c r="E961" s="6" t="s">
        <v>51</v>
      </c>
      <c r="F961" s="6" t="s">
        <v>833</v>
      </c>
      <c r="G961" s="13">
        <f>G962</f>
        <v>299.73</v>
      </c>
      <c r="H961" s="13">
        <f>H962</f>
        <v>300</v>
      </c>
      <c r="I961" s="13">
        <f>I962</f>
        <v>300</v>
      </c>
    </row>
    <row r="962" spans="1:9" ht="36" customHeight="1" x14ac:dyDescent="0.25">
      <c r="A962" s="255" t="s">
        <v>120</v>
      </c>
      <c r="B962" s="17" t="s">
        <v>225</v>
      </c>
      <c r="C962" s="6" t="s">
        <v>127</v>
      </c>
      <c r="D962" s="6" t="s">
        <v>113</v>
      </c>
      <c r="E962" s="6" t="s">
        <v>51</v>
      </c>
      <c r="F962" s="6" t="s">
        <v>121</v>
      </c>
      <c r="G962" s="11">
        <f>'3'!F810</f>
        <v>299.73</v>
      </c>
      <c r="H962" s="11">
        <f>'3'!G810</f>
        <v>300</v>
      </c>
      <c r="I962" s="11">
        <f>'3'!H810</f>
        <v>300</v>
      </c>
    </row>
    <row r="963" spans="1:9" ht="17.25" hidden="1" customHeight="1" x14ac:dyDescent="0.25">
      <c r="A963" s="311" t="s">
        <v>886</v>
      </c>
      <c r="B963" s="197" t="s">
        <v>225</v>
      </c>
      <c r="C963" s="198" t="s">
        <v>692</v>
      </c>
      <c r="D963" s="198" t="s">
        <v>109</v>
      </c>
      <c r="E963" s="198" t="s">
        <v>666</v>
      </c>
      <c r="F963" s="198" t="s">
        <v>222</v>
      </c>
      <c r="G963" s="82">
        <f t="shared" ref="G963:I964" si="207">G964</f>
        <v>0</v>
      </c>
      <c r="H963" s="82">
        <f t="shared" si="207"/>
        <v>0</v>
      </c>
      <c r="I963" s="82">
        <f t="shared" si="207"/>
        <v>0</v>
      </c>
    </row>
    <row r="964" spans="1:9" ht="17.25" hidden="1" customHeight="1" x14ac:dyDescent="0.25">
      <c r="A964" s="255" t="s">
        <v>887</v>
      </c>
      <c r="B964" s="17" t="s">
        <v>225</v>
      </c>
      <c r="C964" s="6" t="s">
        <v>692</v>
      </c>
      <c r="D964" s="6" t="s">
        <v>668</v>
      </c>
      <c r="E964" s="6" t="s">
        <v>666</v>
      </c>
      <c r="F964" s="6" t="s">
        <v>222</v>
      </c>
      <c r="G964" s="13">
        <f t="shared" si="207"/>
        <v>0</v>
      </c>
      <c r="H964" s="13">
        <f t="shared" si="207"/>
        <v>0</v>
      </c>
      <c r="I964" s="13">
        <f t="shared" si="207"/>
        <v>0</v>
      </c>
    </row>
    <row r="965" spans="1:9" ht="46.9" hidden="1" customHeight="1" x14ac:dyDescent="0.25">
      <c r="A965" s="277" t="s">
        <v>990</v>
      </c>
      <c r="B965" s="17" t="s">
        <v>225</v>
      </c>
      <c r="C965" s="6" t="s">
        <v>692</v>
      </c>
      <c r="D965" s="6" t="s">
        <v>668</v>
      </c>
      <c r="E965" s="18" t="s">
        <v>71</v>
      </c>
      <c r="F965" s="6" t="s">
        <v>222</v>
      </c>
      <c r="G965" s="13">
        <f>G966+G969</f>
        <v>0</v>
      </c>
      <c r="H965" s="13">
        <f>H966+H969</f>
        <v>0</v>
      </c>
      <c r="I965" s="13">
        <f>I966+I969</f>
        <v>0</v>
      </c>
    </row>
    <row r="966" spans="1:9" ht="28.9" hidden="1" customHeight="1" x14ac:dyDescent="0.25">
      <c r="A966" s="255" t="s">
        <v>888</v>
      </c>
      <c r="B966" s="17" t="s">
        <v>225</v>
      </c>
      <c r="C966" s="6" t="s">
        <v>692</v>
      </c>
      <c r="D966" s="6" t="s">
        <v>668</v>
      </c>
      <c r="E966" s="6" t="s">
        <v>72</v>
      </c>
      <c r="F966" s="6" t="s">
        <v>222</v>
      </c>
      <c r="G966" s="13">
        <f t="shared" ref="G966:I967" si="208">G967</f>
        <v>0</v>
      </c>
      <c r="H966" s="13">
        <f t="shared" si="208"/>
        <v>0</v>
      </c>
      <c r="I966" s="13">
        <f t="shared" si="208"/>
        <v>0</v>
      </c>
    </row>
    <row r="967" spans="1:9" ht="48" hidden="1" customHeight="1" x14ac:dyDescent="0.25">
      <c r="A967" s="255" t="s">
        <v>891</v>
      </c>
      <c r="B967" s="17" t="s">
        <v>225</v>
      </c>
      <c r="C967" s="6" t="s">
        <v>692</v>
      </c>
      <c r="D967" s="6" t="s">
        <v>668</v>
      </c>
      <c r="E967" s="6" t="s">
        <v>72</v>
      </c>
      <c r="F967" s="6" t="s">
        <v>714</v>
      </c>
      <c r="G967" s="13">
        <f t="shared" si="208"/>
        <v>0</v>
      </c>
      <c r="H967" s="13">
        <f t="shared" si="208"/>
        <v>0</v>
      </c>
      <c r="I967" s="13">
        <f t="shared" si="208"/>
        <v>0</v>
      </c>
    </row>
    <row r="968" spans="1:9" ht="21.6" hidden="1" customHeight="1" x14ac:dyDescent="0.25">
      <c r="A968" s="255" t="s">
        <v>116</v>
      </c>
      <c r="B968" s="17" t="s">
        <v>225</v>
      </c>
      <c r="C968" s="6" t="s">
        <v>692</v>
      </c>
      <c r="D968" s="6" t="s">
        <v>668</v>
      </c>
      <c r="E968" s="6" t="s">
        <v>72</v>
      </c>
      <c r="F968" s="6" t="s">
        <v>165</v>
      </c>
      <c r="G968" s="11">
        <v>0</v>
      </c>
      <c r="H968" s="13">
        <v>0</v>
      </c>
      <c r="I968" s="13">
        <v>0</v>
      </c>
    </row>
    <row r="969" spans="1:9" ht="42.6" hidden="1" customHeight="1" x14ac:dyDescent="0.25">
      <c r="A969" s="422" t="s">
        <v>388</v>
      </c>
      <c r="B969" s="17" t="s">
        <v>225</v>
      </c>
      <c r="C969" s="23" t="s">
        <v>692</v>
      </c>
      <c r="D969" s="23" t="s">
        <v>668</v>
      </c>
      <c r="E969" s="23" t="s">
        <v>71</v>
      </c>
      <c r="F969" s="23" t="s">
        <v>222</v>
      </c>
      <c r="G969" s="22">
        <f>G973+G970</f>
        <v>0</v>
      </c>
      <c r="H969" s="22">
        <f>H973+H970</f>
        <v>0</v>
      </c>
      <c r="I969" s="22">
        <f>I973+I970</f>
        <v>0</v>
      </c>
    </row>
    <row r="970" spans="1:9" ht="76.150000000000006" hidden="1" customHeight="1" x14ac:dyDescent="0.25">
      <c r="A970" s="277" t="s">
        <v>991</v>
      </c>
      <c r="B970" s="42" t="s">
        <v>225</v>
      </c>
      <c r="C970" s="18" t="s">
        <v>692</v>
      </c>
      <c r="D970" s="18" t="s">
        <v>668</v>
      </c>
      <c r="E970" s="18" t="s">
        <v>390</v>
      </c>
      <c r="F970" s="18" t="s">
        <v>222</v>
      </c>
      <c r="G970" s="15">
        <f t="shared" ref="G970:I971" si="209">G971</f>
        <v>0</v>
      </c>
      <c r="H970" s="15">
        <f t="shared" si="209"/>
        <v>0</v>
      </c>
      <c r="I970" s="15">
        <f t="shared" si="209"/>
        <v>0</v>
      </c>
    </row>
    <row r="971" spans="1:9" ht="43.15" hidden="1" customHeight="1" x14ac:dyDescent="0.25">
      <c r="A971" s="255" t="s">
        <v>891</v>
      </c>
      <c r="B971" s="17" t="s">
        <v>225</v>
      </c>
      <c r="C971" s="6" t="s">
        <v>692</v>
      </c>
      <c r="D971" s="6" t="s">
        <v>668</v>
      </c>
      <c r="E971" s="6" t="s">
        <v>390</v>
      </c>
      <c r="F971" s="6" t="s">
        <v>714</v>
      </c>
      <c r="G971" s="13">
        <f t="shared" si="209"/>
        <v>0</v>
      </c>
      <c r="H971" s="13">
        <f t="shared" si="209"/>
        <v>0</v>
      </c>
      <c r="I971" s="13">
        <f t="shared" si="209"/>
        <v>0</v>
      </c>
    </row>
    <row r="972" spans="1:9" ht="18" hidden="1" customHeight="1" x14ac:dyDescent="0.25">
      <c r="A972" s="255" t="s">
        <v>116</v>
      </c>
      <c r="B972" s="17" t="s">
        <v>225</v>
      </c>
      <c r="C972" s="6" t="s">
        <v>692</v>
      </c>
      <c r="D972" s="6" t="s">
        <v>668</v>
      </c>
      <c r="E972" s="6" t="s">
        <v>390</v>
      </c>
      <c r="F972" s="6" t="s">
        <v>165</v>
      </c>
      <c r="G972" s="13"/>
      <c r="H972" s="13"/>
      <c r="I972" s="13"/>
    </row>
    <row r="973" spans="1:9" ht="86.45" hidden="1" customHeight="1" x14ac:dyDescent="0.25">
      <c r="A973" s="277" t="s">
        <v>992</v>
      </c>
      <c r="B973" s="42" t="s">
        <v>225</v>
      </c>
      <c r="C973" s="18" t="s">
        <v>692</v>
      </c>
      <c r="D973" s="18" t="s">
        <v>668</v>
      </c>
      <c r="E973" s="18" t="s">
        <v>391</v>
      </c>
      <c r="F973" s="18" t="s">
        <v>222</v>
      </c>
      <c r="G973" s="15">
        <f t="shared" ref="G973:I974" si="210">G974</f>
        <v>0</v>
      </c>
      <c r="H973" s="15">
        <f t="shared" si="210"/>
        <v>0</v>
      </c>
      <c r="I973" s="15">
        <f t="shared" si="210"/>
        <v>0</v>
      </c>
    </row>
    <row r="974" spans="1:9" ht="43.9" hidden="1" customHeight="1" x14ac:dyDescent="0.25">
      <c r="A974" s="255" t="s">
        <v>891</v>
      </c>
      <c r="B974" s="17" t="s">
        <v>225</v>
      </c>
      <c r="C974" s="6" t="s">
        <v>692</v>
      </c>
      <c r="D974" s="6" t="s">
        <v>668</v>
      </c>
      <c r="E974" s="6" t="s">
        <v>391</v>
      </c>
      <c r="F974" s="6" t="s">
        <v>714</v>
      </c>
      <c r="G974" s="13">
        <f t="shared" si="210"/>
        <v>0</v>
      </c>
      <c r="H974" s="13">
        <f t="shared" si="210"/>
        <v>0</v>
      </c>
      <c r="I974" s="13">
        <f t="shared" si="210"/>
        <v>0</v>
      </c>
    </row>
    <row r="975" spans="1:9" ht="16.899999999999999" hidden="1" customHeight="1" x14ac:dyDescent="0.25">
      <c r="A975" s="255" t="s">
        <v>116</v>
      </c>
      <c r="B975" s="17" t="s">
        <v>225</v>
      </c>
      <c r="C975" s="6" t="s">
        <v>692</v>
      </c>
      <c r="D975" s="6" t="s">
        <v>668</v>
      </c>
      <c r="E975" s="6" t="s">
        <v>391</v>
      </c>
      <c r="F975" s="6" t="s">
        <v>165</v>
      </c>
      <c r="G975" s="13"/>
      <c r="H975" s="13"/>
      <c r="I975" s="13"/>
    </row>
    <row r="976" spans="1:9" ht="44.65" hidden="1" customHeight="1" x14ac:dyDescent="0.25">
      <c r="A976" s="422" t="s">
        <v>334</v>
      </c>
      <c r="B976" s="41" t="s">
        <v>225</v>
      </c>
      <c r="C976" s="23" t="s">
        <v>692</v>
      </c>
      <c r="D976" s="23" t="s">
        <v>668</v>
      </c>
      <c r="E976" s="23" t="s">
        <v>71</v>
      </c>
      <c r="F976" s="23" t="s">
        <v>222</v>
      </c>
      <c r="G976" s="22">
        <f>G977</f>
        <v>0</v>
      </c>
      <c r="H976" s="22">
        <f t="shared" ref="H976:I978" si="211">H977</f>
        <v>0</v>
      </c>
      <c r="I976" s="22">
        <f t="shared" si="211"/>
        <v>0</v>
      </c>
    </row>
    <row r="977" spans="1:10" ht="72.599999999999994" hidden="1" customHeight="1" x14ac:dyDescent="0.25">
      <c r="A977" s="277" t="s">
        <v>993</v>
      </c>
      <c r="B977" s="42" t="s">
        <v>225</v>
      </c>
      <c r="C977" s="18" t="s">
        <v>692</v>
      </c>
      <c r="D977" s="18" t="s">
        <v>668</v>
      </c>
      <c r="E977" s="18" t="s">
        <v>481</v>
      </c>
      <c r="F977" s="18" t="s">
        <v>222</v>
      </c>
      <c r="G977" s="15">
        <f>G978</f>
        <v>0</v>
      </c>
      <c r="H977" s="15">
        <f t="shared" si="211"/>
        <v>0</v>
      </c>
      <c r="I977" s="15">
        <f t="shared" si="211"/>
        <v>0</v>
      </c>
    </row>
    <row r="978" spans="1:10" ht="43.9" hidden="1" customHeight="1" x14ac:dyDescent="0.25">
      <c r="A978" s="255" t="s">
        <v>891</v>
      </c>
      <c r="B978" s="17" t="s">
        <v>225</v>
      </c>
      <c r="C978" s="6" t="s">
        <v>692</v>
      </c>
      <c r="D978" s="6" t="s">
        <v>668</v>
      </c>
      <c r="E978" s="6" t="s">
        <v>481</v>
      </c>
      <c r="F978" s="6" t="s">
        <v>714</v>
      </c>
      <c r="G978" s="13">
        <f>G979</f>
        <v>0</v>
      </c>
      <c r="H978" s="13">
        <f t="shared" si="211"/>
        <v>0</v>
      </c>
      <c r="I978" s="13">
        <f t="shared" si="211"/>
        <v>0</v>
      </c>
    </row>
    <row r="979" spans="1:10" ht="20.65" hidden="1" customHeight="1" x14ac:dyDescent="0.25">
      <c r="A979" s="255" t="s">
        <v>116</v>
      </c>
      <c r="B979" s="17" t="s">
        <v>225</v>
      </c>
      <c r="C979" s="6" t="s">
        <v>692</v>
      </c>
      <c r="D979" s="6" t="s">
        <v>668</v>
      </c>
      <c r="E979" s="6" t="s">
        <v>481</v>
      </c>
      <c r="F979" s="6" t="s">
        <v>165</v>
      </c>
      <c r="G979" s="13"/>
      <c r="H979" s="13"/>
      <c r="I979" s="13"/>
    </row>
    <row r="980" spans="1:10" ht="98.45" hidden="1" customHeight="1" x14ac:dyDescent="0.25">
      <c r="A980" s="277" t="s">
        <v>966</v>
      </c>
      <c r="B980" s="42" t="s">
        <v>225</v>
      </c>
      <c r="C980" s="18" t="s">
        <v>692</v>
      </c>
      <c r="D980" s="18" t="s">
        <v>668</v>
      </c>
      <c r="E980" s="18" t="s">
        <v>994</v>
      </c>
      <c r="F980" s="18" t="s">
        <v>222</v>
      </c>
      <c r="G980" s="15">
        <f t="shared" ref="G980:I981" si="212">G981</f>
        <v>0</v>
      </c>
      <c r="H980" s="15">
        <f t="shared" si="212"/>
        <v>0</v>
      </c>
      <c r="I980" s="15">
        <f t="shared" si="212"/>
        <v>0</v>
      </c>
    </row>
    <row r="981" spans="1:10" ht="42.6" hidden="1" customHeight="1" x14ac:dyDescent="0.25">
      <c r="A981" s="255" t="s">
        <v>891</v>
      </c>
      <c r="B981" s="17" t="s">
        <v>225</v>
      </c>
      <c r="C981" s="6" t="s">
        <v>692</v>
      </c>
      <c r="D981" s="6" t="s">
        <v>668</v>
      </c>
      <c r="E981" s="6" t="s">
        <v>994</v>
      </c>
      <c r="F981" s="6" t="s">
        <v>714</v>
      </c>
      <c r="G981" s="13">
        <f t="shared" si="212"/>
        <v>0</v>
      </c>
      <c r="H981" s="13">
        <f t="shared" si="212"/>
        <v>0</v>
      </c>
      <c r="I981" s="13">
        <f t="shared" si="212"/>
        <v>0</v>
      </c>
    </row>
    <row r="982" spans="1:10" ht="23.65" hidden="1" customHeight="1" x14ac:dyDescent="0.25">
      <c r="A982" s="255" t="s">
        <v>116</v>
      </c>
      <c r="B982" s="17" t="s">
        <v>225</v>
      </c>
      <c r="C982" s="6" t="s">
        <v>692</v>
      </c>
      <c r="D982" s="6" t="s">
        <v>668</v>
      </c>
      <c r="E982" s="6" t="s">
        <v>994</v>
      </c>
      <c r="F982" s="6" t="s">
        <v>165</v>
      </c>
      <c r="G982" s="13"/>
      <c r="H982" s="13"/>
      <c r="I982" s="13"/>
    </row>
    <row r="983" spans="1:10" ht="42.75" x14ac:dyDescent="0.25">
      <c r="A983" s="325" t="s">
        <v>995</v>
      </c>
      <c r="B983" s="326" t="s">
        <v>224</v>
      </c>
      <c r="C983" s="326" t="s">
        <v>109</v>
      </c>
      <c r="D983" s="326" t="s">
        <v>109</v>
      </c>
      <c r="E983" s="326" t="s">
        <v>666</v>
      </c>
      <c r="F983" s="326" t="s">
        <v>222</v>
      </c>
      <c r="G983" s="177">
        <f t="shared" ref="G983:I985" si="213">G984</f>
        <v>3249.1350000000002</v>
      </c>
      <c r="H983" s="177">
        <f t="shared" si="213"/>
        <v>2947.6350000000002</v>
      </c>
      <c r="I983" s="177">
        <f t="shared" si="213"/>
        <v>2947.6350000000002</v>
      </c>
    </row>
    <row r="984" spans="1:10" ht="60" x14ac:dyDescent="0.25">
      <c r="A984" s="255" t="s">
        <v>686</v>
      </c>
      <c r="B984" s="17" t="s">
        <v>224</v>
      </c>
      <c r="C984" s="6" t="s">
        <v>108</v>
      </c>
      <c r="D984" s="6" t="s">
        <v>687</v>
      </c>
      <c r="E984" s="6" t="s">
        <v>666</v>
      </c>
      <c r="F984" s="6" t="s">
        <v>222</v>
      </c>
      <c r="G984" s="13">
        <f t="shared" si="213"/>
        <v>3249.1350000000002</v>
      </c>
      <c r="H984" s="13">
        <f t="shared" si="213"/>
        <v>2947.6350000000002</v>
      </c>
      <c r="I984" s="13">
        <f t="shared" si="213"/>
        <v>2947.6350000000002</v>
      </c>
    </row>
    <row r="985" spans="1:10" ht="30" x14ac:dyDescent="0.25">
      <c r="A985" s="255" t="s">
        <v>206</v>
      </c>
      <c r="B985" s="17" t="s">
        <v>224</v>
      </c>
      <c r="C985" s="6" t="s">
        <v>108</v>
      </c>
      <c r="D985" s="6" t="s">
        <v>687</v>
      </c>
      <c r="E985" s="6" t="s">
        <v>5</v>
      </c>
      <c r="F985" s="6" t="s">
        <v>222</v>
      </c>
      <c r="G985" s="13">
        <f t="shared" si="213"/>
        <v>3249.1350000000002</v>
      </c>
      <c r="H985" s="13">
        <f t="shared" si="213"/>
        <v>2947.6350000000002</v>
      </c>
      <c r="I985" s="13">
        <f t="shared" si="213"/>
        <v>2947.6350000000002</v>
      </c>
    </row>
    <row r="986" spans="1:10" ht="45" x14ac:dyDescent="0.25">
      <c r="A986" s="255" t="s">
        <v>996</v>
      </c>
      <c r="B986" s="17" t="s">
        <v>224</v>
      </c>
      <c r="C986" s="6" t="s">
        <v>108</v>
      </c>
      <c r="D986" s="6" t="s">
        <v>687</v>
      </c>
      <c r="E986" s="6" t="s">
        <v>6</v>
      </c>
      <c r="F986" s="6" t="s">
        <v>222</v>
      </c>
      <c r="G986" s="13">
        <f>G989+G991+G993+G988</f>
        <v>3249.1350000000002</v>
      </c>
      <c r="H986" s="13">
        <f>H989+H991+H993+H988</f>
        <v>2947.6350000000002</v>
      </c>
      <c r="I986" s="13">
        <f>I989+I991+I993+I988</f>
        <v>2947.6350000000002</v>
      </c>
    </row>
    <row r="987" spans="1:10" ht="75.599999999999994" hidden="1" customHeight="1" x14ac:dyDescent="0.25">
      <c r="A987" s="255" t="s">
        <v>670</v>
      </c>
      <c r="B987" s="17" t="s">
        <v>224</v>
      </c>
      <c r="C987" s="6" t="s">
        <v>108</v>
      </c>
      <c r="D987" s="6" t="s">
        <v>687</v>
      </c>
      <c r="E987" s="6" t="s">
        <v>9</v>
      </c>
      <c r="F987" s="6" t="s">
        <v>671</v>
      </c>
      <c r="G987" s="13">
        <f>G988</f>
        <v>0</v>
      </c>
      <c r="H987" s="13">
        <f>H988</f>
        <v>0</v>
      </c>
      <c r="I987" s="13">
        <f>I988</f>
        <v>0</v>
      </c>
    </row>
    <row r="988" spans="1:10" ht="30" hidden="1" x14ac:dyDescent="0.25">
      <c r="A988" s="255" t="s">
        <v>672</v>
      </c>
      <c r="B988" s="17" t="s">
        <v>224</v>
      </c>
      <c r="C988" s="6" t="s">
        <v>108</v>
      </c>
      <c r="D988" s="6" t="s">
        <v>687</v>
      </c>
      <c r="E988" s="6" t="s">
        <v>9</v>
      </c>
      <c r="F988" s="6" t="s">
        <v>673</v>
      </c>
      <c r="G988" s="13">
        <f>'3'!F64</f>
        <v>0</v>
      </c>
      <c r="H988" s="13">
        <f>'3'!G64</f>
        <v>0</v>
      </c>
      <c r="I988" s="13">
        <f>'3'!H64</f>
        <v>0</v>
      </c>
      <c r="J988" s="45"/>
    </row>
    <row r="989" spans="1:10" ht="30" x14ac:dyDescent="0.25">
      <c r="A989" s="255" t="s">
        <v>676</v>
      </c>
      <c r="B989" s="17" t="s">
        <v>224</v>
      </c>
      <c r="C989" s="6" t="s">
        <v>108</v>
      </c>
      <c r="D989" s="6" t="s">
        <v>687</v>
      </c>
      <c r="E989" s="6" t="s">
        <v>9</v>
      </c>
      <c r="F989" s="6" t="s">
        <v>677</v>
      </c>
      <c r="G989" s="13">
        <f>G990</f>
        <v>342</v>
      </c>
      <c r="H989" s="13">
        <f>H990</f>
        <v>342</v>
      </c>
      <c r="I989" s="13">
        <f>I990</f>
        <v>342</v>
      </c>
    </row>
    <row r="990" spans="1:10" ht="50.25" customHeight="1" x14ac:dyDescent="0.25">
      <c r="A990" s="255" t="s">
        <v>678</v>
      </c>
      <c r="B990" s="17" t="s">
        <v>224</v>
      </c>
      <c r="C990" s="6" t="s">
        <v>108</v>
      </c>
      <c r="D990" s="6" t="s">
        <v>687</v>
      </c>
      <c r="E990" s="6" t="s">
        <v>9</v>
      </c>
      <c r="F990" s="6" t="s">
        <v>679</v>
      </c>
      <c r="G990" s="13">
        <f>'3'!F66</f>
        <v>342</v>
      </c>
      <c r="H990" s="13">
        <f>'3'!G66</f>
        <v>342</v>
      </c>
      <c r="I990" s="13">
        <f>'3'!H66</f>
        <v>342</v>
      </c>
    </row>
    <row r="991" spans="1:10" ht="20.25" customHeight="1" x14ac:dyDescent="0.25">
      <c r="A991" s="255" t="s">
        <v>680</v>
      </c>
      <c r="B991" s="17" t="s">
        <v>224</v>
      </c>
      <c r="C991" s="6" t="s">
        <v>108</v>
      </c>
      <c r="D991" s="6" t="s">
        <v>687</v>
      </c>
      <c r="E991" s="6" t="s">
        <v>9</v>
      </c>
      <c r="F991" s="6" t="s">
        <v>681</v>
      </c>
      <c r="G991" s="13">
        <f>G992</f>
        <v>2</v>
      </c>
      <c r="H991" s="13">
        <f>H992</f>
        <v>2</v>
      </c>
      <c r="I991" s="13">
        <f>I992</f>
        <v>2</v>
      </c>
    </row>
    <row r="992" spans="1:10" ht="20.25" customHeight="1" x14ac:dyDescent="0.25">
      <c r="A992" s="255" t="s">
        <v>682</v>
      </c>
      <c r="B992" s="17" t="s">
        <v>224</v>
      </c>
      <c r="C992" s="6" t="s">
        <v>108</v>
      </c>
      <c r="D992" s="6" t="s">
        <v>687</v>
      </c>
      <c r="E992" s="6" t="s">
        <v>9</v>
      </c>
      <c r="F992" s="6" t="s">
        <v>683</v>
      </c>
      <c r="G992" s="13">
        <f>'3'!F68</f>
        <v>2</v>
      </c>
      <c r="H992" s="13">
        <f>'3'!G68</f>
        <v>2</v>
      </c>
      <c r="I992" s="13">
        <f>'3'!H68</f>
        <v>2</v>
      </c>
    </row>
    <row r="993" spans="1:9" ht="30" x14ac:dyDescent="0.25">
      <c r="A993" s="309" t="s">
        <v>690</v>
      </c>
      <c r="B993" s="330" t="s">
        <v>224</v>
      </c>
      <c r="C993" s="193" t="s">
        <v>108</v>
      </c>
      <c r="D993" s="193" t="s">
        <v>687</v>
      </c>
      <c r="E993" s="193" t="s">
        <v>10</v>
      </c>
      <c r="F993" s="193" t="s">
        <v>222</v>
      </c>
      <c r="G993" s="194">
        <f>G994</f>
        <v>2905.1350000000002</v>
      </c>
      <c r="H993" s="194">
        <f t="shared" ref="G993:I994" si="214">H994</f>
        <v>2603.6350000000002</v>
      </c>
      <c r="I993" s="194">
        <f t="shared" si="214"/>
        <v>2603.6350000000002</v>
      </c>
    </row>
    <row r="994" spans="1:9" ht="94.5" customHeight="1" x14ac:dyDescent="0.25">
      <c r="A994" s="255" t="s">
        <v>670</v>
      </c>
      <c r="B994" s="17" t="s">
        <v>224</v>
      </c>
      <c r="C994" s="6" t="s">
        <v>108</v>
      </c>
      <c r="D994" s="6" t="s">
        <v>687</v>
      </c>
      <c r="E994" s="6" t="s">
        <v>10</v>
      </c>
      <c r="F994" s="6" t="s">
        <v>671</v>
      </c>
      <c r="G994" s="11">
        <f t="shared" si="214"/>
        <v>2905.1350000000002</v>
      </c>
      <c r="H994" s="13">
        <f t="shared" si="214"/>
        <v>2603.6350000000002</v>
      </c>
      <c r="I994" s="13">
        <f t="shared" si="214"/>
        <v>2603.6350000000002</v>
      </c>
    </row>
    <row r="995" spans="1:9" ht="29.65" customHeight="1" x14ac:dyDescent="0.25">
      <c r="A995" s="255" t="s">
        <v>672</v>
      </c>
      <c r="B995" s="17" t="s">
        <v>224</v>
      </c>
      <c r="C995" s="6" t="s">
        <v>108</v>
      </c>
      <c r="D995" s="6" t="s">
        <v>687</v>
      </c>
      <c r="E995" s="6" t="s">
        <v>10</v>
      </c>
      <c r="F995" s="6" t="s">
        <v>673</v>
      </c>
      <c r="G995" s="11">
        <f>'5'!D267</f>
        <v>2905.1350000000002</v>
      </c>
      <c r="H995" s="13">
        <f>'5'!E267</f>
        <v>2603.6350000000002</v>
      </c>
      <c r="I995" s="13">
        <f>'5'!F267</f>
        <v>2603.6350000000002</v>
      </c>
    </row>
    <row r="996" spans="1:9" ht="15.75" customHeight="1" x14ac:dyDescent="0.25">
      <c r="A996" s="303" t="s">
        <v>561</v>
      </c>
      <c r="B996" s="185"/>
      <c r="C996" s="184"/>
      <c r="D996" s="184"/>
      <c r="E996" s="184"/>
      <c r="F996" s="184"/>
      <c r="G996" s="178">
        <v>0</v>
      </c>
      <c r="H996" s="199">
        <f>'5'!E331</f>
        <v>-11435.906199999998</v>
      </c>
      <c r="I996" s="199">
        <f>'5'!F331</f>
        <v>-23666.072322000004</v>
      </c>
    </row>
    <row r="997" spans="1:9" x14ac:dyDescent="0.25">
      <c r="A997" s="312" t="s">
        <v>997</v>
      </c>
      <c r="B997" s="200"/>
      <c r="C997" s="200"/>
      <c r="D997" s="200"/>
      <c r="E997" s="200"/>
      <c r="F997" s="200"/>
      <c r="G997" s="22">
        <f>G12+G641+G660+G717+G983+G996</f>
        <v>1010516.7168374746</v>
      </c>
      <c r="H997" s="22">
        <f>H12+H641+H660+H717+H983+H996</f>
        <v>738204.46635000012</v>
      </c>
      <c r="I997" s="22">
        <f>I12+I641+I660+I717+I983+I996</f>
        <v>730889.13521799992</v>
      </c>
    </row>
    <row r="998" spans="1:9" x14ac:dyDescent="0.25">
      <c r="E998" s="45"/>
      <c r="G998" s="233"/>
      <c r="H998" s="45"/>
      <c r="I998" s="45"/>
    </row>
    <row r="999" spans="1:9" x14ac:dyDescent="0.25">
      <c r="E999" s="331"/>
      <c r="F999" s="331"/>
      <c r="G999" s="320">
        <f>G997-G1000</f>
        <v>-2.5253975763916969E-6</v>
      </c>
      <c r="H999" s="320"/>
      <c r="I999" s="320"/>
    </row>
    <row r="1000" spans="1:9" x14ac:dyDescent="0.25">
      <c r="E1000" s="332"/>
      <c r="F1000" s="333"/>
      <c r="G1000" s="45">
        <v>1010516.71684</v>
      </c>
      <c r="H1000" s="320"/>
      <c r="I1000" s="321"/>
    </row>
    <row r="1001" spans="1:9" x14ac:dyDescent="0.25">
      <c r="E1001" s="322"/>
      <c r="F1001" s="322"/>
      <c r="G1001" s="45"/>
      <c r="H1001" s="45"/>
      <c r="I1001" s="45"/>
    </row>
    <row r="1002" spans="1:9" x14ac:dyDescent="0.25">
      <c r="E1002" s="323"/>
      <c r="F1002" s="323"/>
      <c r="G1002" s="233"/>
      <c r="H1002" s="334"/>
      <c r="I1002" s="334"/>
    </row>
    <row r="1003" spans="1:9" x14ac:dyDescent="0.25">
      <c r="G1003" s="335"/>
      <c r="H1003" s="45"/>
      <c r="I1003" s="45"/>
    </row>
    <row r="1005" spans="1:9" x14ac:dyDescent="0.25">
      <c r="H1005" s="336"/>
      <c r="I1005" s="336"/>
    </row>
    <row r="1006" spans="1:9" x14ac:dyDescent="0.25">
      <c r="G1006" s="45"/>
    </row>
    <row r="1007" spans="1:9" x14ac:dyDescent="0.25">
      <c r="H1007" s="45"/>
      <c r="I1007" s="45"/>
    </row>
  </sheetData>
  <mergeCells count="15">
    <mergeCell ref="H1:I1"/>
    <mergeCell ref="A2:I2"/>
    <mergeCell ref="A3:I3"/>
    <mergeCell ref="A4:I4"/>
    <mergeCell ref="A6:I6"/>
    <mergeCell ref="A7:I7"/>
    <mergeCell ref="G10:G11"/>
    <mergeCell ref="H10:H11"/>
    <mergeCell ref="I10:I11"/>
    <mergeCell ref="A10:A11"/>
    <mergeCell ref="B10:B11"/>
    <mergeCell ref="C10:C11"/>
    <mergeCell ref="D10:D11"/>
    <mergeCell ref="E10:E11"/>
    <mergeCell ref="F10:F11"/>
  </mergeCells>
  <phoneticPr fontId="35" type="noConversion"/>
  <pageMargins left="0.7" right="0.7" top="0.75" bottom="0.75" header="0.3" footer="0.3"/>
  <pageSetup paperSize="9" scale="66" fitToHeight="0" orientation="portrait" r:id="rId1"/>
  <rowBreaks count="1" manualBreakCount="1">
    <brk id="37" max="9" man="1"/>
  </rowBreaks>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40"/>
  <sheetViews>
    <sheetView view="pageBreakPreview" zoomScale="90" zoomScaleSheetLayoutView="90" workbookViewId="0">
      <selection activeCell="A33" sqref="A33"/>
    </sheetView>
  </sheetViews>
  <sheetFormatPr defaultColWidth="8.7109375" defaultRowHeight="15" x14ac:dyDescent="0.2"/>
  <cols>
    <col min="1" max="1" width="73.7109375" style="324" customWidth="1"/>
    <col min="2" max="2" width="14.42578125" style="32" customWidth="1"/>
    <col min="3" max="3" width="18.5703125" style="221" customWidth="1"/>
    <col min="4" max="4" width="18.42578125" style="222" customWidth="1"/>
    <col min="5" max="5" width="16.140625" style="36" customWidth="1"/>
    <col min="6" max="6" width="18.28515625" style="36" customWidth="1"/>
    <col min="7" max="8" width="19.7109375" style="32" customWidth="1"/>
    <col min="9" max="16384" width="8.7109375" style="32"/>
  </cols>
  <sheetData>
    <row r="1" spans="1:9" x14ac:dyDescent="0.25">
      <c r="A1" s="453" t="s">
        <v>512</v>
      </c>
      <c r="B1" s="453"/>
      <c r="C1" s="453"/>
      <c r="D1" s="453"/>
      <c r="E1" s="453"/>
      <c r="F1" s="453"/>
    </row>
    <row r="2" spans="1:9" x14ac:dyDescent="0.25">
      <c r="A2" s="453" t="s">
        <v>219</v>
      </c>
      <c r="B2" s="453"/>
      <c r="C2" s="453"/>
      <c r="D2" s="453"/>
      <c r="E2" s="453"/>
      <c r="F2" s="453"/>
    </row>
    <row r="3" spans="1:9" x14ac:dyDescent="0.25">
      <c r="A3" s="453" t="s">
        <v>239</v>
      </c>
      <c r="B3" s="453"/>
      <c r="C3" s="453"/>
      <c r="D3" s="453"/>
      <c r="E3" s="453"/>
      <c r="F3" s="453"/>
    </row>
    <row r="4" spans="1:9" x14ac:dyDescent="0.25">
      <c r="A4" s="454" t="s">
        <v>1138</v>
      </c>
      <c r="B4" s="454"/>
      <c r="C4" s="454"/>
      <c r="D4" s="454"/>
      <c r="E4" s="454"/>
      <c r="F4" s="454"/>
    </row>
    <row r="5" spans="1:9" ht="5.65" customHeight="1" x14ac:dyDescent="0.2">
      <c r="A5" s="337"/>
      <c r="B5" s="35"/>
    </row>
    <row r="6" spans="1:9" ht="60.75" customHeight="1" x14ac:dyDescent="0.2">
      <c r="A6" s="455" t="s">
        <v>654</v>
      </c>
      <c r="B6" s="455"/>
      <c r="C6" s="455"/>
      <c r="D6" s="455"/>
      <c r="E6" s="455"/>
      <c r="F6" s="455"/>
    </row>
    <row r="7" spans="1:9" ht="4.1500000000000004" customHeight="1" x14ac:dyDescent="0.2">
      <c r="A7" s="338"/>
      <c r="B7" s="423"/>
      <c r="C7" s="223"/>
      <c r="D7" s="224"/>
      <c r="E7" s="37"/>
      <c r="F7" s="37"/>
    </row>
    <row r="8" spans="1:9" x14ac:dyDescent="0.25">
      <c r="A8" s="337"/>
      <c r="B8" s="38"/>
      <c r="C8" s="225"/>
      <c r="D8" s="226"/>
      <c r="E8" s="39"/>
      <c r="F8" s="39" t="s">
        <v>102</v>
      </c>
    </row>
    <row r="9" spans="1:9" ht="39.75" customHeight="1" x14ac:dyDescent="0.2">
      <c r="A9" s="422" t="s">
        <v>204</v>
      </c>
      <c r="B9" s="421" t="s">
        <v>166</v>
      </c>
      <c r="C9" s="356" t="s">
        <v>205</v>
      </c>
      <c r="D9" s="12" t="s">
        <v>507</v>
      </c>
      <c r="E9" s="22" t="s">
        <v>550</v>
      </c>
      <c r="F9" s="22" t="s">
        <v>655</v>
      </c>
    </row>
    <row r="10" spans="1:9" ht="16.149999999999999" customHeight="1" x14ac:dyDescent="0.2">
      <c r="A10" s="422">
        <v>1</v>
      </c>
      <c r="B10" s="421">
        <v>2</v>
      </c>
      <c r="C10" s="356">
        <v>3</v>
      </c>
      <c r="D10" s="227">
        <v>4</v>
      </c>
      <c r="E10" s="87">
        <v>5</v>
      </c>
      <c r="F10" s="87">
        <v>6</v>
      </c>
    </row>
    <row r="11" spans="1:9" s="40" customFormat="1" ht="19.149999999999999" customHeight="1" x14ac:dyDescent="0.25">
      <c r="A11" s="456" t="s">
        <v>100</v>
      </c>
      <c r="B11" s="456"/>
      <c r="C11" s="456"/>
      <c r="D11" s="456"/>
    </row>
    <row r="12" spans="1:9" ht="35.25" customHeight="1" x14ac:dyDescent="0.2">
      <c r="A12" s="339" t="s">
        <v>559</v>
      </c>
      <c r="B12" s="75" t="s">
        <v>222</v>
      </c>
      <c r="C12" s="75" t="s">
        <v>22</v>
      </c>
      <c r="D12" s="76">
        <f>D13+D56+D66+D69+D88+D93+D96+D99+D90+D106+D101</f>
        <v>674574.36483000009</v>
      </c>
      <c r="E12" s="76">
        <f>E13+E56+E66+E69+E88+E93+E96+E99+E90+E106+E101</f>
        <v>540664.36563999997</v>
      </c>
      <c r="F12" s="76">
        <f t="shared" ref="F12" si="0">F13+F56+F66+F69+F88+F93+F96+F99+F90+F106+F101</f>
        <v>543500.63580999989</v>
      </c>
      <c r="G12" s="36"/>
    </row>
    <row r="13" spans="1:9" s="43" customFormat="1" ht="30" customHeight="1" x14ac:dyDescent="0.2">
      <c r="A13" s="340" t="s">
        <v>168</v>
      </c>
      <c r="B13" s="88" t="s">
        <v>225</v>
      </c>
      <c r="C13" s="88" t="s">
        <v>35</v>
      </c>
      <c r="D13" s="89">
        <f>D14+D17+D21+D24+D25+D28+D46+D49+D50+D51+D52+D53+D20+D26+D54+D37+D55</f>
        <v>447554.60230000003</v>
      </c>
      <c r="E13" s="89">
        <f t="shared" ref="E13:F13" si="1">E14+E17+E21+E24+E25+E28+E46+E49+E50+E51+E52+E53+E20+E26+E54+E37+E55</f>
        <v>329602.66946</v>
      </c>
      <c r="F13" s="89">
        <f t="shared" si="1"/>
        <v>333669.96680999995</v>
      </c>
    </row>
    <row r="14" spans="1:9" s="43" customFormat="1" ht="24.75" customHeight="1" x14ac:dyDescent="0.2">
      <c r="A14" s="261" t="s">
        <v>141</v>
      </c>
      <c r="B14" s="86" t="s">
        <v>225</v>
      </c>
      <c r="C14" s="86" t="s">
        <v>37</v>
      </c>
      <c r="D14" s="99">
        <f>D15+D16</f>
        <v>2999.4554000000007</v>
      </c>
      <c r="E14" s="99">
        <f>E15+E16</f>
        <v>500</v>
      </c>
      <c r="F14" s="99">
        <f>F15+F16</f>
        <v>500</v>
      </c>
    </row>
    <row r="15" spans="1:9" s="40" customFormat="1" ht="33" customHeight="1" x14ac:dyDescent="0.25">
      <c r="A15" s="255" t="s">
        <v>620</v>
      </c>
      <c r="B15" s="17" t="s">
        <v>225</v>
      </c>
      <c r="C15" s="3" t="s">
        <v>37</v>
      </c>
      <c r="D15" s="11">
        <f>200+60+17.394+105+116.6+178.1+190+110+20+600+18+121.35+9.5+243.0305+157+13.3899+80.764+159.327+600</f>
        <v>2999.4554000000007</v>
      </c>
      <c r="E15" s="13">
        <v>500</v>
      </c>
      <c r="F15" s="13">
        <v>500</v>
      </c>
      <c r="G15" s="36"/>
      <c r="H15" s="44"/>
      <c r="I15" s="44"/>
    </row>
    <row r="16" spans="1:9" s="40" customFormat="1" ht="34.15" hidden="1" customHeight="1" x14ac:dyDescent="0.25">
      <c r="A16" s="255" t="s">
        <v>621</v>
      </c>
      <c r="B16" s="17" t="s">
        <v>225</v>
      </c>
      <c r="C16" s="3" t="s">
        <v>37</v>
      </c>
      <c r="D16" s="11"/>
      <c r="E16" s="11">
        <v>0</v>
      </c>
      <c r="F16" s="11">
        <v>0</v>
      </c>
      <c r="G16" s="44"/>
      <c r="H16" s="44"/>
      <c r="I16" s="44"/>
    </row>
    <row r="17" spans="1:8" s="40" customFormat="1" ht="40.9" hidden="1" customHeight="1" x14ac:dyDescent="0.25">
      <c r="A17" s="277" t="s">
        <v>321</v>
      </c>
      <c r="B17" s="42" t="s">
        <v>225</v>
      </c>
      <c r="C17" s="96" t="s">
        <v>322</v>
      </c>
      <c r="D17" s="95">
        <f>D18+D19</f>
        <v>0</v>
      </c>
      <c r="E17" s="95"/>
      <c r="F17" s="95"/>
    </row>
    <row r="18" spans="1:8" s="40" customFormat="1" ht="62.25" hidden="1" customHeight="1" x14ac:dyDescent="0.25">
      <c r="A18" s="255" t="s">
        <v>339</v>
      </c>
      <c r="B18" s="17" t="s">
        <v>225</v>
      </c>
      <c r="C18" s="3" t="s">
        <v>323</v>
      </c>
      <c r="D18" s="11"/>
      <c r="E18" s="11"/>
      <c r="F18" s="11"/>
    </row>
    <row r="19" spans="1:8" s="40" customFormat="1" ht="41.45" hidden="1" customHeight="1" x14ac:dyDescent="0.25">
      <c r="A19" s="255" t="s">
        <v>384</v>
      </c>
      <c r="B19" s="17" t="s">
        <v>225</v>
      </c>
      <c r="C19" s="3" t="s">
        <v>378</v>
      </c>
      <c r="D19" s="11"/>
      <c r="E19" s="11"/>
      <c r="F19" s="11"/>
    </row>
    <row r="20" spans="1:8" s="40" customFormat="1" ht="32.25" customHeight="1" x14ac:dyDescent="0.25">
      <c r="A20" s="254" t="s">
        <v>590</v>
      </c>
      <c r="B20" s="3" t="s">
        <v>225</v>
      </c>
      <c r="C20" s="3" t="s">
        <v>437</v>
      </c>
      <c r="D20" s="11">
        <v>935</v>
      </c>
      <c r="E20" s="11">
        <v>0</v>
      </c>
      <c r="F20" s="11">
        <v>0</v>
      </c>
    </row>
    <row r="21" spans="1:8" s="40" customFormat="1" ht="43.5" hidden="1" customHeight="1" x14ac:dyDescent="0.25">
      <c r="A21" s="422" t="s">
        <v>366</v>
      </c>
      <c r="B21" s="17"/>
      <c r="C21" s="86"/>
      <c r="D21" s="12">
        <f>D22+D23</f>
        <v>0</v>
      </c>
      <c r="E21" s="12">
        <f>E22+E23</f>
        <v>0</v>
      </c>
      <c r="F21" s="12">
        <f>F22+F23</f>
        <v>0</v>
      </c>
      <c r="G21" s="44"/>
      <c r="H21" s="44"/>
    </row>
    <row r="22" spans="1:8" s="40" customFormat="1" ht="46.9" hidden="1" customHeight="1" x14ac:dyDescent="0.25">
      <c r="A22" s="255" t="s">
        <v>367</v>
      </c>
      <c r="B22" s="17" t="s">
        <v>460</v>
      </c>
      <c r="C22" s="3" t="s">
        <v>377</v>
      </c>
      <c r="D22" s="11"/>
      <c r="E22" s="11"/>
      <c r="F22" s="11"/>
    </row>
    <row r="23" spans="1:8" s="40" customFormat="1" ht="55.9" hidden="1" customHeight="1" x14ac:dyDescent="0.25">
      <c r="A23" s="254" t="s">
        <v>368</v>
      </c>
      <c r="B23" s="3" t="s">
        <v>117</v>
      </c>
      <c r="C23" s="3" t="s">
        <v>578</v>
      </c>
      <c r="D23" s="11"/>
      <c r="E23" s="11">
        <v>0</v>
      </c>
      <c r="F23" s="11">
        <v>0</v>
      </c>
      <c r="G23" s="44"/>
    </row>
    <row r="24" spans="1:8" s="5" customFormat="1" ht="71.25" hidden="1" customHeight="1" x14ac:dyDescent="0.25">
      <c r="A24" s="254" t="s">
        <v>368</v>
      </c>
      <c r="B24" s="3" t="s">
        <v>117</v>
      </c>
      <c r="C24" s="3" t="s">
        <v>378</v>
      </c>
      <c r="D24" s="11"/>
      <c r="E24" s="11"/>
      <c r="F24" s="11"/>
    </row>
    <row r="25" spans="1:8" s="40" customFormat="1" ht="33" customHeight="1" x14ac:dyDescent="0.25">
      <c r="A25" s="422" t="s">
        <v>486</v>
      </c>
      <c r="B25" s="41" t="s">
        <v>225</v>
      </c>
      <c r="C25" s="86"/>
      <c r="D25" s="12">
        <f>D26+D27</f>
        <v>8.9059999999999953</v>
      </c>
      <c r="E25" s="12">
        <f>E26+E27</f>
        <v>0</v>
      </c>
      <c r="F25" s="12">
        <f>F26+F27</f>
        <v>0</v>
      </c>
      <c r="G25" s="44"/>
    </row>
    <row r="26" spans="1:8" s="40" customFormat="1" ht="30" hidden="1" customHeight="1" x14ac:dyDescent="0.25">
      <c r="A26" s="255" t="s">
        <v>478</v>
      </c>
      <c r="B26" s="17" t="s">
        <v>225</v>
      </c>
      <c r="C26" s="3" t="s">
        <v>479</v>
      </c>
      <c r="D26" s="11"/>
      <c r="E26" s="11"/>
      <c r="F26" s="11"/>
    </row>
    <row r="27" spans="1:8" s="40" customFormat="1" ht="45.75" customHeight="1" x14ac:dyDescent="0.25">
      <c r="A27" s="254" t="s">
        <v>423</v>
      </c>
      <c r="B27" s="3" t="s">
        <v>225</v>
      </c>
      <c r="C27" s="3" t="s">
        <v>579</v>
      </c>
      <c r="D27" s="11">
        <f>100-17.394-60-13.7</f>
        <v>8.9059999999999953</v>
      </c>
      <c r="E27" s="11">
        <v>0</v>
      </c>
      <c r="F27" s="11">
        <v>0</v>
      </c>
      <c r="G27" s="44"/>
      <c r="H27" s="44"/>
    </row>
    <row r="28" spans="1:8" s="40" customFormat="1" ht="32.450000000000003" customHeight="1" x14ac:dyDescent="0.25">
      <c r="A28" s="261" t="s">
        <v>533</v>
      </c>
      <c r="B28" s="86" t="s">
        <v>225</v>
      </c>
      <c r="C28" s="86"/>
      <c r="D28" s="12">
        <f>D29+D31+D34</f>
        <v>5231.6299999999992</v>
      </c>
      <c r="E28" s="12">
        <f>E29+E30</f>
        <v>0</v>
      </c>
      <c r="F28" s="12">
        <f>F29+F30</f>
        <v>0</v>
      </c>
      <c r="G28" s="44"/>
      <c r="H28" s="44"/>
    </row>
    <row r="29" spans="1:8" s="40" customFormat="1" ht="45.6" hidden="1" customHeight="1" x14ac:dyDescent="0.25">
      <c r="A29" s="254" t="s">
        <v>534</v>
      </c>
      <c r="B29" s="3" t="s">
        <v>225</v>
      </c>
      <c r="C29" s="3" t="s">
        <v>594</v>
      </c>
      <c r="D29" s="11">
        <f>5940-5940</f>
        <v>0</v>
      </c>
      <c r="E29" s="11">
        <v>0</v>
      </c>
      <c r="F29" s="11">
        <v>0</v>
      </c>
      <c r="G29" s="44"/>
      <c r="H29" s="44"/>
    </row>
    <row r="30" spans="1:8" s="40" customFormat="1" ht="45.6" hidden="1" customHeight="1" x14ac:dyDescent="0.25">
      <c r="A30" s="254" t="s">
        <v>536</v>
      </c>
      <c r="B30" s="3" t="s">
        <v>225</v>
      </c>
      <c r="C30" s="3" t="s">
        <v>595</v>
      </c>
      <c r="D30" s="11">
        <f>60-60</f>
        <v>0</v>
      </c>
      <c r="E30" s="11">
        <v>0</v>
      </c>
      <c r="F30" s="11">
        <v>0</v>
      </c>
      <c r="G30" s="44"/>
      <c r="H30" s="44"/>
    </row>
    <row r="31" spans="1:8" s="54" customFormat="1" ht="45.75" customHeight="1" x14ac:dyDescent="0.2">
      <c r="A31" s="341" t="s">
        <v>1058</v>
      </c>
      <c r="B31" s="90" t="s">
        <v>225</v>
      </c>
      <c r="C31" s="90"/>
      <c r="D31" s="99">
        <f>D32+D33</f>
        <v>2607</v>
      </c>
      <c r="E31" s="99">
        <f t="shared" ref="E31:F31" si="2">E32+E33</f>
        <v>0</v>
      </c>
      <c r="F31" s="99">
        <f t="shared" si="2"/>
        <v>0</v>
      </c>
      <c r="G31" s="53"/>
      <c r="H31" s="53"/>
    </row>
    <row r="32" spans="1:8" s="40" customFormat="1" ht="48.75" customHeight="1" x14ac:dyDescent="0.25">
      <c r="A32" s="254" t="s">
        <v>1055</v>
      </c>
      <c r="B32" s="3" t="s">
        <v>225</v>
      </c>
      <c r="C32" s="3" t="s">
        <v>1056</v>
      </c>
      <c r="D32" s="11">
        <f>2970-389.07</f>
        <v>2580.9299999999998</v>
      </c>
      <c r="E32" s="11">
        <v>0</v>
      </c>
      <c r="F32" s="11">
        <v>0</v>
      </c>
      <c r="G32" s="44"/>
      <c r="H32" s="44"/>
    </row>
    <row r="33" spans="1:8" s="40" customFormat="1" ht="47.25" customHeight="1" x14ac:dyDescent="0.25">
      <c r="A33" s="254" t="s">
        <v>1057</v>
      </c>
      <c r="B33" s="3" t="s">
        <v>225</v>
      </c>
      <c r="C33" s="3" t="s">
        <v>1056</v>
      </c>
      <c r="D33" s="11">
        <f>30-3.93</f>
        <v>26.07</v>
      </c>
      <c r="E33" s="11">
        <v>0</v>
      </c>
      <c r="F33" s="11">
        <v>0</v>
      </c>
      <c r="G33" s="44"/>
      <c r="H33" s="44"/>
    </row>
    <row r="34" spans="1:8" s="54" customFormat="1" ht="38.25" customHeight="1" x14ac:dyDescent="0.2">
      <c r="A34" s="341" t="s">
        <v>1059</v>
      </c>
      <c r="B34" s="90" t="s">
        <v>225</v>
      </c>
      <c r="C34" s="217"/>
      <c r="D34" s="99">
        <f>D35+D36</f>
        <v>2624.6299999999997</v>
      </c>
      <c r="E34" s="99">
        <f t="shared" ref="E34:F34" si="3">E35+E36</f>
        <v>0</v>
      </c>
      <c r="F34" s="99">
        <f t="shared" si="3"/>
        <v>0</v>
      </c>
      <c r="G34" s="53"/>
      <c r="H34" s="53"/>
    </row>
    <row r="35" spans="1:8" s="40" customFormat="1" ht="47.25" customHeight="1" x14ac:dyDescent="0.25">
      <c r="A35" s="254" t="s">
        <v>1105</v>
      </c>
      <c r="B35" s="3" t="s">
        <v>225</v>
      </c>
      <c r="C35" s="3" t="s">
        <v>1060</v>
      </c>
      <c r="D35" s="11">
        <f>2970-389.07</f>
        <v>2580.9299999999998</v>
      </c>
      <c r="E35" s="11">
        <v>0</v>
      </c>
      <c r="F35" s="11">
        <v>0</v>
      </c>
      <c r="G35" s="44"/>
      <c r="H35" s="44"/>
    </row>
    <row r="36" spans="1:8" s="40" customFormat="1" ht="47.25" customHeight="1" x14ac:dyDescent="0.25">
      <c r="A36" s="254" t="s">
        <v>1104</v>
      </c>
      <c r="B36" s="3" t="s">
        <v>225</v>
      </c>
      <c r="C36" s="3" t="s">
        <v>1060</v>
      </c>
      <c r="D36" s="11">
        <f>30+13.7</f>
        <v>43.7</v>
      </c>
      <c r="E36" s="11">
        <v>0</v>
      </c>
      <c r="F36" s="11">
        <v>0</v>
      </c>
      <c r="G36" s="44"/>
      <c r="H36" s="44"/>
    </row>
    <row r="37" spans="1:8" s="40" customFormat="1" ht="30.75" customHeight="1" x14ac:dyDescent="0.25">
      <c r="A37" s="261" t="s">
        <v>1048</v>
      </c>
      <c r="B37" s="86" t="s">
        <v>225</v>
      </c>
      <c r="C37" s="86"/>
      <c r="D37" s="12">
        <f>D38+D39+D40+D43</f>
        <v>3030.3030399999998</v>
      </c>
      <c r="E37" s="12">
        <f t="shared" ref="E37:F37" si="4">E38+E39</f>
        <v>0</v>
      </c>
      <c r="F37" s="12">
        <f t="shared" si="4"/>
        <v>0</v>
      </c>
      <c r="G37" s="44"/>
      <c r="H37" s="44"/>
    </row>
    <row r="38" spans="1:8" s="40" customFormat="1" ht="45.6" hidden="1" customHeight="1" x14ac:dyDescent="0.25">
      <c r="A38" s="342" t="s">
        <v>1050</v>
      </c>
      <c r="B38" s="3" t="s">
        <v>225</v>
      </c>
      <c r="C38" s="3" t="s">
        <v>1052</v>
      </c>
      <c r="D38" s="228">
        <f>3000-3000</f>
        <v>0</v>
      </c>
      <c r="E38" s="11">
        <v>0</v>
      </c>
      <c r="F38" s="11">
        <v>0</v>
      </c>
      <c r="G38" s="44"/>
      <c r="H38" s="44"/>
    </row>
    <row r="39" spans="1:8" s="40" customFormat="1" ht="45.6" hidden="1" customHeight="1" x14ac:dyDescent="0.25">
      <c r="A39" s="254" t="s">
        <v>1051</v>
      </c>
      <c r="B39" s="3" t="s">
        <v>225</v>
      </c>
      <c r="C39" s="98" t="s">
        <v>1049</v>
      </c>
      <c r="D39" s="228">
        <f>15.15152*2-30.30304</f>
        <v>0</v>
      </c>
      <c r="E39" s="11">
        <v>0</v>
      </c>
      <c r="F39" s="11">
        <v>0</v>
      </c>
      <c r="G39" s="44"/>
      <c r="H39" s="44"/>
    </row>
    <row r="40" spans="1:8" s="54" customFormat="1" ht="51" customHeight="1" x14ac:dyDescent="0.2">
      <c r="A40" s="341" t="s">
        <v>1113</v>
      </c>
      <c r="B40" s="3" t="s">
        <v>225</v>
      </c>
      <c r="C40" s="220"/>
      <c r="D40" s="219">
        <f>D41+D42</f>
        <v>1515.1515199999999</v>
      </c>
      <c r="E40" s="219">
        <f t="shared" ref="E40:F40" si="5">E41+E42</f>
        <v>0</v>
      </c>
      <c r="F40" s="219">
        <f t="shared" si="5"/>
        <v>0</v>
      </c>
      <c r="G40" s="53"/>
      <c r="H40" s="53"/>
    </row>
    <row r="41" spans="1:8" s="40" customFormat="1" ht="47.25" customHeight="1" x14ac:dyDescent="0.25">
      <c r="A41" s="254" t="s">
        <v>1106</v>
      </c>
      <c r="B41" s="3" t="s">
        <v>225</v>
      </c>
      <c r="C41" s="98" t="s">
        <v>1061</v>
      </c>
      <c r="D41" s="228">
        <f>1500</f>
        <v>1500</v>
      </c>
      <c r="E41" s="11">
        <v>0</v>
      </c>
      <c r="F41" s="11">
        <v>0</v>
      </c>
      <c r="G41" s="44"/>
      <c r="H41" s="44"/>
    </row>
    <row r="42" spans="1:8" s="40" customFormat="1" ht="53.45" customHeight="1" x14ac:dyDescent="0.25">
      <c r="A42" s="254" t="s">
        <v>1114</v>
      </c>
      <c r="B42" s="3" t="s">
        <v>225</v>
      </c>
      <c r="C42" s="98" t="s">
        <v>1061</v>
      </c>
      <c r="D42" s="228">
        <v>15.15152</v>
      </c>
      <c r="E42" s="11">
        <v>0</v>
      </c>
      <c r="F42" s="11">
        <v>0</v>
      </c>
      <c r="G42" s="44"/>
      <c r="H42" s="44"/>
    </row>
    <row r="43" spans="1:8" s="54" customFormat="1" ht="51.6" customHeight="1" x14ac:dyDescent="0.2">
      <c r="A43" s="341" t="s">
        <v>1115</v>
      </c>
      <c r="B43" s="90" t="s">
        <v>225</v>
      </c>
      <c r="C43" s="218"/>
      <c r="D43" s="219">
        <f>D44+D45</f>
        <v>1515.1515199999999</v>
      </c>
      <c r="E43" s="219">
        <f t="shared" ref="E43:F43" si="6">E44+E45</f>
        <v>0</v>
      </c>
      <c r="F43" s="219">
        <f t="shared" si="6"/>
        <v>0</v>
      </c>
      <c r="G43" s="53"/>
      <c r="H43" s="53"/>
    </row>
    <row r="44" spans="1:8" s="40" customFormat="1" ht="48" customHeight="1" x14ac:dyDescent="0.25">
      <c r="A44" s="254" t="s">
        <v>1116</v>
      </c>
      <c r="B44" s="3" t="s">
        <v>225</v>
      </c>
      <c r="C44" s="98" t="s">
        <v>1062</v>
      </c>
      <c r="D44" s="228">
        <f>1500</f>
        <v>1500</v>
      </c>
      <c r="E44" s="11">
        <v>0</v>
      </c>
      <c r="F44" s="11">
        <v>0</v>
      </c>
      <c r="G44" s="44"/>
      <c r="H44" s="44"/>
    </row>
    <row r="45" spans="1:8" s="40" customFormat="1" ht="51.75" customHeight="1" x14ac:dyDescent="0.25">
      <c r="A45" s="254" t="s">
        <v>1117</v>
      </c>
      <c r="B45" s="3" t="s">
        <v>225</v>
      </c>
      <c r="C45" s="98" t="s">
        <v>1062</v>
      </c>
      <c r="D45" s="228">
        <v>15.15152</v>
      </c>
      <c r="E45" s="11">
        <v>0</v>
      </c>
      <c r="F45" s="11">
        <v>0</v>
      </c>
      <c r="G45" s="44"/>
      <c r="H45" s="44"/>
    </row>
    <row r="46" spans="1:8" ht="48" customHeight="1" x14ac:dyDescent="0.2">
      <c r="A46" s="422" t="s">
        <v>542</v>
      </c>
      <c r="B46" s="41" t="s">
        <v>225</v>
      </c>
      <c r="C46" s="229" t="s">
        <v>38</v>
      </c>
      <c r="D46" s="12">
        <f>D47+D48</f>
        <v>133900.21566000002</v>
      </c>
      <c r="E46" s="12">
        <f>E47+E48</f>
        <v>36003.372820000004</v>
      </c>
      <c r="F46" s="12">
        <f>F47+F48</f>
        <v>24347.117010000009</v>
      </c>
      <c r="G46" s="36"/>
    </row>
    <row r="47" spans="1:8" ht="58.5" customHeight="1" x14ac:dyDescent="0.2">
      <c r="A47" s="255" t="s">
        <v>543</v>
      </c>
      <c r="B47" s="17" t="s">
        <v>225</v>
      </c>
      <c r="C47" s="3" t="s">
        <v>38</v>
      </c>
      <c r="D47" s="11">
        <f>101066.251+0.0769+10000+655.66285+187.6+5000+450.66+870+596.5545+370+4118.76571+272.8+5077.09633+178+10.76+1355.98837+750+440</f>
        <v>131400.21566000002</v>
      </c>
      <c r="E47" s="11">
        <f>100989.951-64695.77012-38-60.60606-192.202</f>
        <v>36003.372820000004</v>
      </c>
      <c r="F47" s="11">
        <f>100989.951-76544.22793-38-60.60606</f>
        <v>24347.117010000009</v>
      </c>
      <c r="G47" s="36"/>
    </row>
    <row r="48" spans="1:8" ht="66" customHeight="1" x14ac:dyDescent="0.2">
      <c r="A48" s="255" t="s">
        <v>544</v>
      </c>
      <c r="B48" s="17" t="s">
        <v>225</v>
      </c>
      <c r="C48" s="3" t="s">
        <v>38</v>
      </c>
      <c r="D48" s="11">
        <f>2500</f>
        <v>2500</v>
      </c>
      <c r="E48" s="11">
        <v>0</v>
      </c>
      <c r="F48" s="11">
        <v>0</v>
      </c>
    </row>
    <row r="49" spans="1:9" ht="54.75" customHeight="1" x14ac:dyDescent="0.2">
      <c r="A49" s="255" t="s">
        <v>87</v>
      </c>
      <c r="B49" s="17" t="s">
        <v>225</v>
      </c>
      <c r="C49" s="3" t="s">
        <v>47</v>
      </c>
      <c r="D49" s="11">
        <f>'2  '!D77</f>
        <v>251389.158</v>
      </c>
      <c r="E49" s="11">
        <f>'2  '!E77</f>
        <v>267175.44</v>
      </c>
      <c r="F49" s="11">
        <f>'2  '!F77</f>
        <v>283183.27899999998</v>
      </c>
    </row>
    <row r="50" spans="1:9" ht="35.25" customHeight="1" x14ac:dyDescent="0.2">
      <c r="A50" s="255" t="s">
        <v>340</v>
      </c>
      <c r="B50" s="17" t="s">
        <v>225</v>
      </c>
      <c r="C50" s="3" t="s">
        <v>324</v>
      </c>
      <c r="D50" s="11">
        <f>'2  '!D81+2426.699-7534.25-662.5633+35+13.8</f>
        <v>4215.534200000001</v>
      </c>
      <c r="E50" s="11">
        <f>'2  '!E81-11734.25</f>
        <v>0</v>
      </c>
      <c r="F50" s="11">
        <f>'2  '!F81-11734.25</f>
        <v>0</v>
      </c>
    </row>
    <row r="51" spans="1:9" ht="48" customHeight="1" x14ac:dyDescent="0.2">
      <c r="A51" s="255" t="s">
        <v>333</v>
      </c>
      <c r="B51" s="17" t="s">
        <v>225</v>
      </c>
      <c r="C51" s="3" t="s">
        <v>1024</v>
      </c>
      <c r="D51" s="11">
        <f>'2  '!D75</f>
        <v>440.4</v>
      </c>
      <c r="E51" s="13">
        <f>'2  '!E75</f>
        <v>1130</v>
      </c>
      <c r="F51" s="13">
        <f>'2  '!F75</f>
        <v>0</v>
      </c>
    </row>
    <row r="52" spans="1:9" ht="49.5" customHeight="1" x14ac:dyDescent="0.2">
      <c r="A52" s="255" t="s">
        <v>414</v>
      </c>
      <c r="B52" s="17" t="s">
        <v>225</v>
      </c>
      <c r="C52" s="3" t="s">
        <v>531</v>
      </c>
      <c r="D52" s="11">
        <f>'2  '!D91-11380.55-386.5208</f>
        <v>2380.3292000000001</v>
      </c>
      <c r="E52" s="11">
        <f>'2  '!E91-15880.55</f>
        <v>0</v>
      </c>
      <c r="F52" s="11">
        <f>'2  '!F91-15533.75</f>
        <v>0</v>
      </c>
    </row>
    <row r="53" spans="1:9" ht="64.5" customHeight="1" x14ac:dyDescent="0.2">
      <c r="A53" s="255" t="s">
        <v>411</v>
      </c>
      <c r="B53" s="17" t="s">
        <v>225</v>
      </c>
      <c r="C53" s="3" t="s">
        <v>415</v>
      </c>
      <c r="D53" s="11">
        <f>'2  '!D101</f>
        <v>41607.54</v>
      </c>
      <c r="E53" s="11">
        <f>'2  '!E101</f>
        <v>21411</v>
      </c>
      <c r="F53" s="11">
        <f>'2  '!F101</f>
        <v>21411</v>
      </c>
    </row>
    <row r="54" spans="1:9" ht="63.75" customHeight="1" x14ac:dyDescent="0.2">
      <c r="A54" s="254" t="s">
        <v>598</v>
      </c>
      <c r="B54" s="3" t="s">
        <v>225</v>
      </c>
      <c r="C54" s="3" t="s">
        <v>1016</v>
      </c>
      <c r="D54" s="57">
        <f>'2  '!D100</f>
        <v>1249.4748</v>
      </c>
      <c r="E54" s="57">
        <f>'2  '!E100</f>
        <v>3382.85664</v>
      </c>
      <c r="F54" s="57">
        <f>'2  '!F100</f>
        <v>4228.5708000000004</v>
      </c>
    </row>
    <row r="55" spans="1:9" ht="97.5" customHeight="1" x14ac:dyDescent="0.2">
      <c r="A55" s="254" t="s">
        <v>1131</v>
      </c>
      <c r="B55" s="3" t="s">
        <v>225</v>
      </c>
      <c r="C55" s="352" t="s">
        <v>1133</v>
      </c>
      <c r="D55" s="57">
        <v>166.65600000000001</v>
      </c>
      <c r="E55" s="57">
        <v>0</v>
      </c>
      <c r="F55" s="57">
        <v>0</v>
      </c>
    </row>
    <row r="56" spans="1:9" s="43" customFormat="1" ht="33" customHeight="1" x14ac:dyDescent="0.2">
      <c r="A56" s="340" t="s">
        <v>169</v>
      </c>
      <c r="B56" s="88" t="s">
        <v>225</v>
      </c>
      <c r="C56" s="88" t="s">
        <v>31</v>
      </c>
      <c r="D56" s="89">
        <f>D57+D60+D61+D64+D65</f>
        <v>105876.75466999999</v>
      </c>
      <c r="E56" s="89">
        <f>E57+E60+E61+E64+E65</f>
        <v>96583.62999999999</v>
      </c>
      <c r="F56" s="89">
        <f>F57+F60+F61+F64+F65</f>
        <v>100032.16900000001</v>
      </c>
    </row>
    <row r="57" spans="1:9" s="43" customFormat="1" ht="33" customHeight="1" x14ac:dyDescent="0.2">
      <c r="A57" s="422" t="s">
        <v>170</v>
      </c>
      <c r="B57" s="90" t="s">
        <v>225</v>
      </c>
      <c r="C57" s="3" t="s">
        <v>32</v>
      </c>
      <c r="D57" s="99">
        <f>D58+D59</f>
        <v>150</v>
      </c>
      <c r="E57" s="99">
        <f>E58+E59</f>
        <v>200</v>
      </c>
      <c r="F57" s="99">
        <f>F58+F59</f>
        <v>200</v>
      </c>
    </row>
    <row r="58" spans="1:9" s="43" customFormat="1" ht="33" customHeight="1" x14ac:dyDescent="0.2">
      <c r="A58" s="254" t="s">
        <v>622</v>
      </c>
      <c r="B58" s="96" t="s">
        <v>225</v>
      </c>
      <c r="C58" s="3" t="s">
        <v>32</v>
      </c>
      <c r="D58" s="11">
        <v>150</v>
      </c>
      <c r="E58" s="11">
        <v>200</v>
      </c>
      <c r="F58" s="11">
        <v>200</v>
      </c>
    </row>
    <row r="59" spans="1:9" ht="30.6" customHeight="1" x14ac:dyDescent="0.2">
      <c r="A59" s="254" t="s">
        <v>623</v>
      </c>
      <c r="B59" s="17" t="s">
        <v>225</v>
      </c>
      <c r="C59" s="3" t="s">
        <v>32</v>
      </c>
      <c r="D59" s="11"/>
      <c r="E59" s="11"/>
      <c r="F59" s="11"/>
    </row>
    <row r="60" spans="1:9" ht="33.6" customHeight="1" x14ac:dyDescent="0.2">
      <c r="A60" s="254" t="s">
        <v>589</v>
      </c>
      <c r="B60" s="3" t="s">
        <v>225</v>
      </c>
      <c r="C60" s="3" t="s">
        <v>438</v>
      </c>
      <c r="D60" s="11">
        <v>305</v>
      </c>
      <c r="E60" s="11">
        <v>0</v>
      </c>
      <c r="F60" s="11">
        <v>0</v>
      </c>
    </row>
    <row r="61" spans="1:9" ht="59.45" customHeight="1" x14ac:dyDescent="0.2">
      <c r="A61" s="261" t="s">
        <v>545</v>
      </c>
      <c r="B61" s="86" t="s">
        <v>225</v>
      </c>
      <c r="C61" s="86" t="s">
        <v>33</v>
      </c>
      <c r="D61" s="12">
        <f>D62+D63</f>
        <v>50903.967669999998</v>
      </c>
      <c r="E61" s="12">
        <f>E62+E63</f>
        <v>35288.356</v>
      </c>
      <c r="F61" s="22">
        <f>F62+F63</f>
        <v>35288.356</v>
      </c>
      <c r="G61" s="36"/>
      <c r="H61" s="36"/>
      <c r="I61" s="36"/>
    </row>
    <row r="62" spans="1:9" ht="68.25" customHeight="1" x14ac:dyDescent="0.2">
      <c r="A62" s="254" t="s">
        <v>546</v>
      </c>
      <c r="B62" s="3" t="s">
        <v>225</v>
      </c>
      <c r="C62" s="3" t="s">
        <v>33</v>
      </c>
      <c r="D62" s="11">
        <f>35288.356+5000+300+3100+16.497+1934.32322+3000+581.79145+200+483</f>
        <v>49903.967669999998</v>
      </c>
      <c r="E62" s="11">
        <v>35288.356</v>
      </c>
      <c r="F62" s="11">
        <v>35288.356</v>
      </c>
    </row>
    <row r="63" spans="1:9" ht="68.25" customHeight="1" x14ac:dyDescent="0.2">
      <c r="A63" s="254" t="s">
        <v>547</v>
      </c>
      <c r="B63" s="3" t="s">
        <v>225</v>
      </c>
      <c r="C63" s="3" t="s">
        <v>33</v>
      </c>
      <c r="D63" s="11">
        <f>1000</f>
        <v>1000</v>
      </c>
      <c r="E63" s="11">
        <v>0</v>
      </c>
      <c r="F63" s="13">
        <v>0</v>
      </c>
    </row>
    <row r="64" spans="1:9" ht="45.6" customHeight="1" x14ac:dyDescent="0.2">
      <c r="A64" s="254" t="s">
        <v>88</v>
      </c>
      <c r="B64" s="3" t="s">
        <v>225</v>
      </c>
      <c r="C64" s="3" t="s">
        <v>34</v>
      </c>
      <c r="D64" s="11">
        <f>'2  '!D76</f>
        <v>51964.42</v>
      </c>
      <c r="E64" s="11">
        <f>'2  '!E76</f>
        <v>55123.663999999997</v>
      </c>
      <c r="F64" s="11">
        <f>'2  '!F76</f>
        <v>58333.048000000003</v>
      </c>
    </row>
    <row r="65" spans="1:6" ht="58.5" customHeight="1" x14ac:dyDescent="0.2">
      <c r="A65" s="254" t="s">
        <v>89</v>
      </c>
      <c r="B65" s="3" t="s">
        <v>225</v>
      </c>
      <c r="C65" s="3" t="s">
        <v>70</v>
      </c>
      <c r="D65" s="11">
        <f>'2  '!D88</f>
        <v>2553.3670000000002</v>
      </c>
      <c r="E65" s="11">
        <f>'2  '!E88</f>
        <v>5971.61</v>
      </c>
      <c r="F65" s="13">
        <f>'2  '!F88</f>
        <v>6210.7650000000003</v>
      </c>
    </row>
    <row r="66" spans="1:6" s="43" customFormat="1" ht="16.5" customHeight="1" x14ac:dyDescent="0.2">
      <c r="A66" s="340" t="s">
        <v>171</v>
      </c>
      <c r="B66" s="88" t="s">
        <v>225</v>
      </c>
      <c r="C66" s="88" t="s">
        <v>39</v>
      </c>
      <c r="D66" s="89">
        <f>D67+D68</f>
        <v>1496.3879999999999</v>
      </c>
      <c r="E66" s="89">
        <f>E67+E68</f>
        <v>1800</v>
      </c>
      <c r="F66" s="89">
        <f>F67+F68</f>
        <v>1800</v>
      </c>
    </row>
    <row r="67" spans="1:6" ht="17.100000000000001" customHeight="1" x14ac:dyDescent="0.2">
      <c r="A67" s="255" t="s">
        <v>143</v>
      </c>
      <c r="B67" s="17" t="s">
        <v>225</v>
      </c>
      <c r="C67" s="3" t="s">
        <v>40</v>
      </c>
      <c r="D67" s="11">
        <v>250</v>
      </c>
      <c r="E67" s="11">
        <v>300</v>
      </c>
      <c r="F67" s="11">
        <v>300</v>
      </c>
    </row>
    <row r="68" spans="1:6" ht="19.149999999999999" customHeight="1" x14ac:dyDescent="0.2">
      <c r="A68" s="255" t="s">
        <v>142</v>
      </c>
      <c r="B68" s="17" t="s">
        <v>225</v>
      </c>
      <c r="C68" s="3" t="s">
        <v>41</v>
      </c>
      <c r="D68" s="11">
        <f>1000+190.96+19.75+9.8+25.878</f>
        <v>1246.3879999999999</v>
      </c>
      <c r="E68" s="11">
        <v>1500</v>
      </c>
      <c r="F68" s="11">
        <v>1500</v>
      </c>
    </row>
    <row r="69" spans="1:6" s="43" customFormat="1" ht="17.25" customHeight="1" x14ac:dyDescent="0.2">
      <c r="A69" s="340" t="s">
        <v>172</v>
      </c>
      <c r="B69" s="88" t="s">
        <v>225</v>
      </c>
      <c r="C69" s="88" t="s">
        <v>42</v>
      </c>
      <c r="D69" s="89">
        <f>D70+D74+D75+D76+D82+D84+D83+D79+D85</f>
        <v>35197.854019999992</v>
      </c>
      <c r="E69" s="89">
        <f>E70+E74+E75+E76+E82+E84+E83+E79+E85</f>
        <v>29769.766180000002</v>
      </c>
      <c r="F69" s="89">
        <f>F70+F74+F75+F76+F82+F84+F83+F79+F85</f>
        <v>25387</v>
      </c>
    </row>
    <row r="70" spans="1:6" s="43" customFormat="1" ht="33" customHeight="1" x14ac:dyDescent="0.2">
      <c r="A70" s="266" t="s">
        <v>626</v>
      </c>
      <c r="B70" s="90" t="s">
        <v>225</v>
      </c>
      <c r="C70" s="90" t="s">
        <v>450</v>
      </c>
      <c r="D70" s="95">
        <f>D71+D72+D73</f>
        <v>50</v>
      </c>
      <c r="E70" s="95">
        <f>E71+E72+E73</f>
        <v>0</v>
      </c>
      <c r="F70" s="95">
        <f>F71+F72+F73</f>
        <v>0</v>
      </c>
    </row>
    <row r="71" spans="1:6" ht="43.9" hidden="1" customHeight="1" x14ac:dyDescent="0.2">
      <c r="A71" s="255" t="s">
        <v>625</v>
      </c>
      <c r="B71" s="17" t="s">
        <v>117</v>
      </c>
      <c r="C71" s="3" t="s">
        <v>450</v>
      </c>
      <c r="D71" s="11"/>
      <c r="E71" s="13">
        <v>0</v>
      </c>
      <c r="F71" s="13">
        <v>0</v>
      </c>
    </row>
    <row r="72" spans="1:6" ht="37.15" customHeight="1" x14ac:dyDescent="0.2">
      <c r="A72" s="255" t="s">
        <v>624</v>
      </c>
      <c r="B72" s="17" t="s">
        <v>225</v>
      </c>
      <c r="C72" s="3" t="s">
        <v>450</v>
      </c>
      <c r="D72" s="11">
        <f>25+25</f>
        <v>50</v>
      </c>
      <c r="E72" s="13">
        <v>0</v>
      </c>
      <c r="F72" s="13">
        <v>0</v>
      </c>
    </row>
    <row r="73" spans="1:6" ht="37.15" hidden="1" customHeight="1" x14ac:dyDescent="0.2">
      <c r="A73" s="255" t="s">
        <v>625</v>
      </c>
      <c r="B73" s="17" t="s">
        <v>225</v>
      </c>
      <c r="C73" s="3" t="s">
        <v>450</v>
      </c>
      <c r="D73" s="11"/>
      <c r="E73" s="13">
        <v>0</v>
      </c>
      <c r="F73" s="13">
        <v>0</v>
      </c>
    </row>
    <row r="74" spans="1:6" s="54" customFormat="1" ht="28.5" customHeight="1" x14ac:dyDescent="0.2">
      <c r="A74" s="341" t="s">
        <v>513</v>
      </c>
      <c r="B74" s="90" t="s">
        <v>225</v>
      </c>
      <c r="C74" s="78" t="s">
        <v>439</v>
      </c>
      <c r="D74" s="99">
        <f>70+65</f>
        <v>135</v>
      </c>
      <c r="E74" s="99">
        <v>0</v>
      </c>
      <c r="F74" s="99">
        <v>0</v>
      </c>
    </row>
    <row r="75" spans="1:6" ht="18" customHeight="1" x14ac:dyDescent="0.2">
      <c r="A75" s="255" t="s">
        <v>521</v>
      </c>
      <c r="B75" s="17" t="s">
        <v>225</v>
      </c>
      <c r="C75" s="4" t="s">
        <v>43</v>
      </c>
      <c r="D75" s="11">
        <f>8835.1-860.767+900+500+135.16218+1658.8+923.8+156.50482</f>
        <v>12248.599999999999</v>
      </c>
      <c r="E75" s="11">
        <f t="shared" ref="E75:F75" si="7">8835.1-860.767</f>
        <v>7974.3330000000005</v>
      </c>
      <c r="F75" s="11">
        <f t="shared" si="7"/>
        <v>7974.3330000000005</v>
      </c>
    </row>
    <row r="76" spans="1:6" ht="27" customHeight="1" x14ac:dyDescent="0.2">
      <c r="A76" s="255" t="s">
        <v>458</v>
      </c>
      <c r="B76" s="17" t="s">
        <v>225</v>
      </c>
      <c r="C76" s="4" t="s">
        <v>44</v>
      </c>
      <c r="D76" s="11">
        <f>15758.1-1177.101+1000+500+171.47248+1976.1+1049.8-238</f>
        <v>19040.371479999998</v>
      </c>
      <c r="E76" s="11">
        <f t="shared" ref="E76:F76" si="8">15758.1-1177.101</f>
        <v>14580.999</v>
      </c>
      <c r="F76" s="11">
        <f t="shared" si="8"/>
        <v>14580.999</v>
      </c>
    </row>
    <row r="77" spans="1:6" ht="21" hidden="1" customHeight="1" x14ac:dyDescent="0.2">
      <c r="A77" s="255" t="s">
        <v>135</v>
      </c>
      <c r="B77" s="17" t="s">
        <v>117</v>
      </c>
      <c r="C77" s="3" t="s">
        <v>45</v>
      </c>
      <c r="D77" s="11"/>
      <c r="E77" s="11"/>
      <c r="F77" s="11"/>
    </row>
    <row r="78" spans="1:6" ht="21" hidden="1" customHeight="1" x14ac:dyDescent="0.2">
      <c r="A78" s="255" t="s">
        <v>136</v>
      </c>
      <c r="B78" s="17" t="s">
        <v>117</v>
      </c>
      <c r="C78" s="3" t="s">
        <v>46</v>
      </c>
      <c r="D78" s="11"/>
      <c r="E78" s="11"/>
      <c r="F78" s="11"/>
    </row>
    <row r="79" spans="1:6" ht="31.9" customHeight="1" x14ac:dyDescent="0.2">
      <c r="A79" s="266" t="s">
        <v>369</v>
      </c>
      <c r="B79" s="19" t="s">
        <v>225</v>
      </c>
      <c r="C79" s="3" t="s">
        <v>450</v>
      </c>
      <c r="D79" s="99">
        <f>D80+D81</f>
        <v>960.8492</v>
      </c>
      <c r="E79" s="99">
        <f t="shared" ref="E79:F79" si="9">E80+E81</f>
        <v>192.202</v>
      </c>
      <c r="F79" s="99">
        <f t="shared" si="9"/>
        <v>0</v>
      </c>
    </row>
    <row r="80" spans="1:6" ht="42.6" customHeight="1" x14ac:dyDescent="0.2">
      <c r="A80" s="255" t="s">
        <v>370</v>
      </c>
      <c r="B80" s="17" t="s">
        <v>225</v>
      </c>
      <c r="C80" s="4" t="s">
        <v>835</v>
      </c>
      <c r="D80" s="11">
        <f>'2  '!D62</f>
        <v>951.24071000000004</v>
      </c>
      <c r="E80" s="11">
        <f>'2  '!E62</f>
        <v>0</v>
      </c>
      <c r="F80" s="11">
        <f>'2  '!F62</f>
        <v>0</v>
      </c>
    </row>
    <row r="81" spans="1:6" ht="59.65" customHeight="1" x14ac:dyDescent="0.2">
      <c r="A81" s="255" t="s">
        <v>371</v>
      </c>
      <c r="B81" s="17" t="s">
        <v>225</v>
      </c>
      <c r="C81" s="4" t="s">
        <v>1022</v>
      </c>
      <c r="D81" s="11">
        <f>20-10.39151</f>
        <v>9.6084899999999998</v>
      </c>
      <c r="E81" s="11">
        <v>192.202</v>
      </c>
      <c r="F81" s="11">
        <v>0</v>
      </c>
    </row>
    <row r="82" spans="1:6" ht="38.450000000000003" hidden="1" customHeight="1" x14ac:dyDescent="0.2">
      <c r="A82" s="255" t="s">
        <v>548</v>
      </c>
      <c r="B82" s="17" t="s">
        <v>225</v>
      </c>
      <c r="C82" s="3" t="s">
        <v>532</v>
      </c>
      <c r="D82" s="11"/>
      <c r="E82" s="11"/>
      <c r="F82" s="11"/>
    </row>
    <row r="83" spans="1:6" ht="66" customHeight="1" x14ac:dyDescent="0.2">
      <c r="A83" s="254" t="s">
        <v>636</v>
      </c>
      <c r="B83" s="3" t="s">
        <v>225</v>
      </c>
      <c r="C83" s="3" t="s">
        <v>532</v>
      </c>
      <c r="D83" s="11">
        <f>860.767+1177.101-171.47248-135.16218</f>
        <v>1731.2333400000002</v>
      </c>
      <c r="E83" s="11">
        <f t="shared" ref="E83:F83" si="10">860.767+1177.101</f>
        <v>2037.8680000000002</v>
      </c>
      <c r="F83" s="11">
        <f t="shared" si="10"/>
        <v>2037.8680000000002</v>
      </c>
    </row>
    <row r="84" spans="1:6" ht="45" customHeight="1" x14ac:dyDescent="0.2">
      <c r="A84" s="255" t="s">
        <v>608</v>
      </c>
      <c r="B84" s="17" t="s">
        <v>225</v>
      </c>
      <c r="C84" s="3" t="s">
        <v>459</v>
      </c>
      <c r="D84" s="11">
        <f>793.8+238</f>
        <v>1031.8</v>
      </c>
      <c r="E84" s="11">
        <v>793.8</v>
      </c>
      <c r="F84" s="11">
        <v>793.8</v>
      </c>
    </row>
    <row r="85" spans="1:6" s="54" customFormat="1" ht="79.900000000000006" customHeight="1" x14ac:dyDescent="0.2">
      <c r="A85" s="266" t="s">
        <v>1032</v>
      </c>
      <c r="B85" s="19" t="s">
        <v>225</v>
      </c>
      <c r="C85" s="90"/>
      <c r="D85" s="99">
        <f>D86+D87</f>
        <v>0</v>
      </c>
      <c r="E85" s="99">
        <f t="shared" ref="E85:F85" si="11">E86+E87</f>
        <v>4190.5641800000003</v>
      </c>
      <c r="F85" s="99">
        <f t="shared" si="11"/>
        <v>0</v>
      </c>
    </row>
    <row r="86" spans="1:6" ht="79.150000000000006" customHeight="1" x14ac:dyDescent="0.2">
      <c r="A86" s="255" t="s">
        <v>1033</v>
      </c>
      <c r="B86" s="17" t="s">
        <v>225</v>
      </c>
      <c r="C86" s="3" t="s">
        <v>1031</v>
      </c>
      <c r="D86" s="11">
        <f>'2  '!D72</f>
        <v>0</v>
      </c>
      <c r="E86" s="11">
        <f>'2  '!E72</f>
        <v>4148.6585400000004</v>
      </c>
      <c r="F86" s="11">
        <f>'2  '!F72</f>
        <v>0</v>
      </c>
    </row>
    <row r="87" spans="1:6" ht="79.5" customHeight="1" x14ac:dyDescent="0.2">
      <c r="A87" s="271" t="s">
        <v>1034</v>
      </c>
      <c r="B87" s="17" t="s">
        <v>225</v>
      </c>
      <c r="C87" s="3" t="s">
        <v>1031</v>
      </c>
      <c r="D87" s="11">
        <v>0</v>
      </c>
      <c r="E87" s="11">
        <v>41.905639999999998</v>
      </c>
      <c r="F87" s="11">
        <v>0</v>
      </c>
    </row>
    <row r="88" spans="1:6" s="43" customFormat="1" ht="17.25" customHeight="1" x14ac:dyDescent="0.2">
      <c r="A88" s="340" t="s">
        <v>173</v>
      </c>
      <c r="B88" s="88" t="s">
        <v>225</v>
      </c>
      <c r="C88" s="88" t="s">
        <v>48</v>
      </c>
      <c r="D88" s="89">
        <f>D89</f>
        <v>150</v>
      </c>
      <c r="E88" s="89">
        <f>E89</f>
        <v>50</v>
      </c>
      <c r="F88" s="89">
        <f>F89</f>
        <v>50</v>
      </c>
    </row>
    <row r="89" spans="1:6" s="7" customFormat="1" ht="17.25" customHeight="1" x14ac:dyDescent="0.25">
      <c r="A89" s="255" t="s">
        <v>422</v>
      </c>
      <c r="B89" s="17" t="s">
        <v>225</v>
      </c>
      <c r="C89" s="3" t="s">
        <v>49</v>
      </c>
      <c r="D89" s="11">
        <f>50+30+50+20</f>
        <v>150</v>
      </c>
      <c r="E89" s="13">
        <v>50</v>
      </c>
      <c r="F89" s="13">
        <v>50</v>
      </c>
    </row>
    <row r="90" spans="1:6" s="43" customFormat="1" ht="17.25" customHeight="1" x14ac:dyDescent="0.2">
      <c r="A90" s="340" t="s">
        <v>249</v>
      </c>
      <c r="B90" s="88" t="s">
        <v>225</v>
      </c>
      <c r="C90" s="88" t="s">
        <v>50</v>
      </c>
      <c r="D90" s="89">
        <f>D91+D92</f>
        <v>3623.3712</v>
      </c>
      <c r="E90" s="89">
        <f>E91+E92</f>
        <v>6112.8</v>
      </c>
      <c r="F90" s="89">
        <f>F91+F92</f>
        <v>6112.8</v>
      </c>
    </row>
    <row r="91" spans="1:6" s="7" customFormat="1" ht="45" customHeight="1" x14ac:dyDescent="0.25">
      <c r="A91" s="255" t="s">
        <v>395</v>
      </c>
      <c r="B91" s="17" t="s">
        <v>225</v>
      </c>
      <c r="C91" s="3" t="s">
        <v>51</v>
      </c>
      <c r="D91" s="57">
        <f>'2  '!D78</f>
        <v>3623.3712</v>
      </c>
      <c r="E91" s="46">
        <f>'2  '!E78</f>
        <v>6112.8</v>
      </c>
      <c r="F91" s="46">
        <f>'2  '!F78</f>
        <v>6112.8</v>
      </c>
    </row>
    <row r="92" spans="1:6" s="7" customFormat="1" ht="32.450000000000003" hidden="1" customHeight="1" x14ac:dyDescent="0.25">
      <c r="A92" s="255" t="s">
        <v>456</v>
      </c>
      <c r="B92" s="17" t="s">
        <v>225</v>
      </c>
      <c r="C92" s="3" t="s">
        <v>455</v>
      </c>
      <c r="D92" s="11"/>
      <c r="E92" s="13"/>
      <c r="F92" s="13"/>
    </row>
    <row r="93" spans="1:6" s="43" customFormat="1" ht="18.75" customHeight="1" x14ac:dyDescent="0.2">
      <c r="A93" s="340" t="s">
        <v>174</v>
      </c>
      <c r="B93" s="88" t="s">
        <v>225</v>
      </c>
      <c r="C93" s="88" t="s">
        <v>52</v>
      </c>
      <c r="D93" s="89">
        <f>D94+D95</f>
        <v>62944.009539999992</v>
      </c>
      <c r="E93" s="89">
        <f>E94+E95</f>
        <v>48772.7</v>
      </c>
      <c r="F93" s="89">
        <f>F94+F95</f>
        <v>48772.7</v>
      </c>
    </row>
    <row r="94" spans="1:6" ht="31.5" customHeight="1" x14ac:dyDescent="0.2">
      <c r="A94" s="255" t="s">
        <v>119</v>
      </c>
      <c r="B94" s="17" t="s">
        <v>225</v>
      </c>
      <c r="C94" s="3" t="s">
        <v>53</v>
      </c>
      <c r="D94" s="11">
        <f>48772.7+129.6+199+50+2000+137.5+46+100+3066.06+600+2216.77754+73+38+18.6+1716.5+1444.3+220+45+75.6+170.172+45.9+83.1+1279.7+386.5+30</f>
        <v>62944.009539999992</v>
      </c>
      <c r="E94" s="11">
        <v>48772.7</v>
      </c>
      <c r="F94" s="11">
        <v>48772.7</v>
      </c>
    </row>
    <row r="95" spans="1:6" ht="45.6" hidden="1" customHeight="1" x14ac:dyDescent="0.2">
      <c r="A95" s="254" t="s">
        <v>587</v>
      </c>
      <c r="B95" s="3" t="s">
        <v>225</v>
      </c>
      <c r="C95" s="3" t="s">
        <v>53</v>
      </c>
      <c r="D95" s="11">
        <v>0</v>
      </c>
      <c r="E95" s="11">
        <v>0</v>
      </c>
      <c r="F95" s="11">
        <v>0</v>
      </c>
    </row>
    <row r="96" spans="1:6" s="43" customFormat="1" ht="17.25" customHeight="1" x14ac:dyDescent="0.2">
      <c r="A96" s="340" t="s">
        <v>549</v>
      </c>
      <c r="B96" s="88" t="s">
        <v>117</v>
      </c>
      <c r="C96" s="88" t="s">
        <v>23</v>
      </c>
      <c r="D96" s="89">
        <f>D97+D98</f>
        <v>150</v>
      </c>
      <c r="E96" s="89">
        <f>E97+E98</f>
        <v>200</v>
      </c>
      <c r="F96" s="89">
        <f>F97+F98</f>
        <v>250</v>
      </c>
    </row>
    <row r="97" spans="1:6" s="40" customFormat="1" ht="15.75" customHeight="1" x14ac:dyDescent="0.25">
      <c r="A97" s="255" t="s">
        <v>215</v>
      </c>
      <c r="B97" s="84">
        <v>951</v>
      </c>
      <c r="C97" s="3" t="s">
        <v>24</v>
      </c>
      <c r="D97" s="11">
        <v>111</v>
      </c>
      <c r="E97" s="13">
        <v>161</v>
      </c>
      <c r="F97" s="215">
        <v>211</v>
      </c>
    </row>
    <row r="98" spans="1:6" s="7" customFormat="1" ht="15.75" customHeight="1" x14ac:dyDescent="0.25">
      <c r="A98" s="255" t="s">
        <v>201</v>
      </c>
      <c r="B98" s="84">
        <v>951</v>
      </c>
      <c r="C98" s="3" t="s">
        <v>65</v>
      </c>
      <c r="D98" s="11">
        <v>39</v>
      </c>
      <c r="E98" s="13">
        <v>39</v>
      </c>
      <c r="F98" s="13">
        <v>39</v>
      </c>
    </row>
    <row r="99" spans="1:6" s="43" customFormat="1" ht="17.25" customHeight="1" x14ac:dyDescent="0.2">
      <c r="A99" s="340" t="s">
        <v>255</v>
      </c>
      <c r="B99" s="88" t="s">
        <v>117</v>
      </c>
      <c r="C99" s="88" t="s">
        <v>25</v>
      </c>
      <c r="D99" s="89">
        <f>D100</f>
        <v>93</v>
      </c>
      <c r="E99" s="89">
        <f>E100</f>
        <v>120</v>
      </c>
      <c r="F99" s="89">
        <f>F100</f>
        <v>120</v>
      </c>
    </row>
    <row r="100" spans="1:6" s="43" customFormat="1" ht="17.25" customHeight="1" x14ac:dyDescent="0.2">
      <c r="A100" s="255" t="s">
        <v>194</v>
      </c>
      <c r="B100" s="17" t="s">
        <v>117</v>
      </c>
      <c r="C100" s="3" t="s">
        <v>379</v>
      </c>
      <c r="D100" s="11">
        <f>83+10</f>
        <v>93</v>
      </c>
      <c r="E100" s="11">
        <v>120</v>
      </c>
      <c r="F100" s="11">
        <v>120</v>
      </c>
    </row>
    <row r="101" spans="1:6" s="43" customFormat="1" ht="32.450000000000003" customHeight="1" x14ac:dyDescent="0.2">
      <c r="A101" s="340" t="s">
        <v>1075</v>
      </c>
      <c r="B101" s="88" t="s">
        <v>225</v>
      </c>
      <c r="C101" s="88" t="s">
        <v>1090</v>
      </c>
      <c r="D101" s="89">
        <f>D102+D103+D104</f>
        <v>17488.3851</v>
      </c>
      <c r="E101" s="89">
        <f t="shared" ref="E101" si="12">E102+E103+E104</f>
        <v>27652.799999999999</v>
      </c>
      <c r="F101" s="89">
        <f>F102+F103+F104</f>
        <v>27306</v>
      </c>
    </row>
    <row r="102" spans="1:6" s="43" customFormat="1" ht="34.9" customHeight="1" x14ac:dyDescent="0.2">
      <c r="A102" s="254" t="s">
        <v>1103</v>
      </c>
      <c r="B102" s="96" t="s">
        <v>225</v>
      </c>
      <c r="C102" s="96" t="s">
        <v>1089</v>
      </c>
      <c r="D102" s="95">
        <f>6599.53827+1597.27503-2426.699-35-13.8</f>
        <v>5721.3142999999991</v>
      </c>
      <c r="E102" s="95">
        <f>'2  '!E81</f>
        <v>11734.25</v>
      </c>
      <c r="F102" s="95">
        <f>'2  '!F81</f>
        <v>11734.25</v>
      </c>
    </row>
    <row r="103" spans="1:6" s="43" customFormat="1" ht="47.45" customHeight="1" x14ac:dyDescent="0.2">
      <c r="A103" s="254" t="s">
        <v>414</v>
      </c>
      <c r="B103" s="96" t="s">
        <v>225</v>
      </c>
      <c r="C103" s="140" t="s">
        <v>1099</v>
      </c>
      <c r="D103" s="95">
        <v>11767.0708</v>
      </c>
      <c r="E103" s="95">
        <f>'2  '!E91</f>
        <v>15880.55</v>
      </c>
      <c r="F103" s="95">
        <f>'2  '!F91</f>
        <v>15533.75</v>
      </c>
    </row>
    <row r="104" spans="1:6" s="43" customFormat="1" ht="27.6" customHeight="1" x14ac:dyDescent="0.2">
      <c r="A104" s="254" t="s">
        <v>1074</v>
      </c>
      <c r="B104" s="96" t="s">
        <v>117</v>
      </c>
      <c r="C104" s="96" t="s">
        <v>1073</v>
      </c>
      <c r="D104" s="95">
        <v>0</v>
      </c>
      <c r="E104" s="95">
        <v>38</v>
      </c>
      <c r="F104" s="95">
        <v>38</v>
      </c>
    </row>
    <row r="105" spans="1:6" ht="18" hidden="1" customHeight="1" x14ac:dyDescent="0.2">
      <c r="A105" s="300"/>
      <c r="C105" s="32"/>
      <c r="D105" s="32"/>
      <c r="E105" s="32"/>
      <c r="F105" s="32"/>
    </row>
    <row r="106" spans="1:6" ht="47.25" hidden="1" customHeight="1" x14ac:dyDescent="0.2">
      <c r="A106" s="277" t="s">
        <v>263</v>
      </c>
      <c r="B106" s="42" t="s">
        <v>225</v>
      </c>
      <c r="C106" s="96" t="s">
        <v>35</v>
      </c>
      <c r="D106" s="95">
        <f>D107</f>
        <v>0</v>
      </c>
      <c r="E106" s="15">
        <f>E107</f>
        <v>0</v>
      </c>
      <c r="F106" s="15">
        <f>F107</f>
        <v>0</v>
      </c>
    </row>
    <row r="107" spans="1:6" ht="29.25" hidden="1" customHeight="1" x14ac:dyDescent="0.2">
      <c r="A107" s="255" t="s">
        <v>264</v>
      </c>
      <c r="B107" s="17" t="s">
        <v>225</v>
      </c>
      <c r="C107" s="3" t="s">
        <v>36</v>
      </c>
      <c r="D107" s="11">
        <v>0</v>
      </c>
      <c r="E107" s="13">
        <v>0</v>
      </c>
      <c r="F107" s="13">
        <v>0</v>
      </c>
    </row>
    <row r="108" spans="1:6" ht="32.25" customHeight="1" x14ac:dyDescent="0.2">
      <c r="A108" s="339" t="s">
        <v>558</v>
      </c>
      <c r="B108" s="75" t="s">
        <v>222</v>
      </c>
      <c r="C108" s="75" t="s">
        <v>54</v>
      </c>
      <c r="D108" s="76">
        <f>D109+D110+D111</f>
        <v>1470</v>
      </c>
      <c r="E108" s="76">
        <f>E109+E110+E111</f>
        <v>1053</v>
      </c>
      <c r="F108" s="76">
        <f>F109+F110+F111</f>
        <v>1083</v>
      </c>
    </row>
    <row r="109" spans="1:6" ht="14.65" customHeight="1" x14ac:dyDescent="0.2">
      <c r="A109" s="255" t="s">
        <v>92</v>
      </c>
      <c r="B109" s="17" t="s">
        <v>225</v>
      </c>
      <c r="C109" s="3" t="s">
        <v>55</v>
      </c>
      <c r="D109" s="11">
        <f>700-100</f>
        <v>600</v>
      </c>
      <c r="E109" s="13">
        <f>560+3+15+60+120</f>
        <v>758</v>
      </c>
      <c r="F109" s="13">
        <f>570+130+15+60+3</f>
        <v>778</v>
      </c>
    </row>
    <row r="110" spans="1:6" ht="15" customHeight="1" x14ac:dyDescent="0.2">
      <c r="A110" s="255" t="s">
        <v>116</v>
      </c>
      <c r="B110" s="17" t="s">
        <v>225</v>
      </c>
      <c r="C110" s="3" t="s">
        <v>56</v>
      </c>
      <c r="D110" s="11">
        <f>280+485+100</f>
        <v>865</v>
      </c>
      <c r="E110" s="13">
        <v>290</v>
      </c>
      <c r="F110" s="13">
        <v>300</v>
      </c>
    </row>
    <row r="111" spans="1:6" ht="15.6" customHeight="1" x14ac:dyDescent="0.2">
      <c r="A111" s="255" t="s">
        <v>200</v>
      </c>
      <c r="B111" s="17" t="s">
        <v>117</v>
      </c>
      <c r="C111" s="3" t="s">
        <v>66</v>
      </c>
      <c r="D111" s="11">
        <v>5</v>
      </c>
      <c r="E111" s="13">
        <v>5</v>
      </c>
      <c r="F111" s="13">
        <v>5</v>
      </c>
    </row>
    <row r="112" spans="1:6" s="47" customFormat="1" ht="48" hidden="1" customHeight="1" x14ac:dyDescent="0.2">
      <c r="A112" s="422" t="s">
        <v>234</v>
      </c>
      <c r="B112" s="41" t="s">
        <v>117</v>
      </c>
      <c r="C112" s="85" t="s">
        <v>21</v>
      </c>
      <c r="D112" s="12">
        <f>D113+D114</f>
        <v>0</v>
      </c>
      <c r="E112" s="22">
        <f>E113+E114</f>
        <v>0</v>
      </c>
      <c r="F112" s="22">
        <f>F113+F114</f>
        <v>0</v>
      </c>
    </row>
    <row r="113" spans="1:6" s="40" customFormat="1" ht="48.75" hidden="1" customHeight="1" x14ac:dyDescent="0.25">
      <c r="A113" s="302" t="s">
        <v>90</v>
      </c>
      <c r="B113" s="17" t="s">
        <v>117</v>
      </c>
      <c r="C113" s="4" t="s">
        <v>250</v>
      </c>
      <c r="D113" s="11"/>
      <c r="E113" s="13"/>
      <c r="F113" s="13"/>
    </row>
    <row r="114" spans="1:6" ht="48.75" hidden="1" customHeight="1" x14ac:dyDescent="0.2">
      <c r="A114" s="255" t="s">
        <v>91</v>
      </c>
      <c r="B114" s="17" t="s">
        <v>117</v>
      </c>
      <c r="C114" s="4" t="s">
        <v>78</v>
      </c>
      <c r="D114" s="11"/>
      <c r="E114" s="13"/>
      <c r="F114" s="13"/>
    </row>
    <row r="115" spans="1:6" s="7" customFormat="1" ht="33.75" customHeight="1" x14ac:dyDescent="0.25">
      <c r="A115" s="339" t="s">
        <v>596</v>
      </c>
      <c r="B115" s="75" t="s">
        <v>222</v>
      </c>
      <c r="C115" s="75" t="s">
        <v>26</v>
      </c>
      <c r="D115" s="76">
        <f>SUM(D116:D121)</f>
        <v>893</v>
      </c>
      <c r="E115" s="76">
        <f>SUM(E116:E121)</f>
        <v>1131</v>
      </c>
      <c r="F115" s="76">
        <f>SUM(F116:F121)</f>
        <v>1131</v>
      </c>
    </row>
    <row r="116" spans="1:6" s="7" customFormat="1" ht="15.6" customHeight="1" x14ac:dyDescent="0.25">
      <c r="A116" s="255" t="s">
        <v>93</v>
      </c>
      <c r="B116" s="17" t="s">
        <v>225</v>
      </c>
      <c r="C116" s="3" t="s">
        <v>57</v>
      </c>
      <c r="D116" s="11">
        <v>3</v>
      </c>
      <c r="E116" s="11">
        <v>4</v>
      </c>
      <c r="F116" s="11">
        <v>4</v>
      </c>
    </row>
    <row r="117" spans="1:6" s="7" customFormat="1" ht="15.6" customHeight="1" x14ac:dyDescent="0.25">
      <c r="A117" s="255" t="s">
        <v>447</v>
      </c>
      <c r="B117" s="17" t="s">
        <v>225</v>
      </c>
      <c r="C117" s="3" t="s">
        <v>57</v>
      </c>
      <c r="D117" s="11">
        <v>657</v>
      </c>
      <c r="E117" s="11">
        <v>1028</v>
      </c>
      <c r="F117" s="11">
        <v>1028</v>
      </c>
    </row>
    <row r="118" spans="1:6" s="7" customFormat="1" ht="15" customHeight="1" x14ac:dyDescent="0.25">
      <c r="A118" s="255" t="s">
        <v>385</v>
      </c>
      <c r="B118" s="17" t="s">
        <v>117</v>
      </c>
      <c r="C118" s="3" t="s">
        <v>27</v>
      </c>
      <c r="D118" s="11">
        <v>35</v>
      </c>
      <c r="E118" s="11">
        <v>39</v>
      </c>
      <c r="F118" s="11">
        <v>39</v>
      </c>
    </row>
    <row r="119" spans="1:6" s="7" customFormat="1" ht="15" customHeight="1" x14ac:dyDescent="0.25">
      <c r="A119" s="255" t="s">
        <v>200</v>
      </c>
      <c r="B119" s="17" t="s">
        <v>117</v>
      </c>
      <c r="C119" s="3" t="s">
        <v>380</v>
      </c>
      <c r="D119" s="11">
        <v>198</v>
      </c>
      <c r="E119" s="11">
        <v>60</v>
      </c>
      <c r="F119" s="11">
        <v>60</v>
      </c>
    </row>
    <row r="120" spans="1:6" s="7" customFormat="1" ht="33.6" hidden="1" customHeight="1" x14ac:dyDescent="0.25">
      <c r="A120" s="255" t="s">
        <v>472</v>
      </c>
      <c r="B120" s="17" t="s">
        <v>225</v>
      </c>
      <c r="C120" s="3" t="s">
        <v>470</v>
      </c>
      <c r="D120" s="11"/>
      <c r="E120" s="13"/>
      <c r="F120" s="13"/>
    </row>
    <row r="121" spans="1:6" s="7" customFormat="1" ht="15" hidden="1" customHeight="1" x14ac:dyDescent="0.25">
      <c r="A121" s="255" t="s">
        <v>471</v>
      </c>
      <c r="B121" s="17" t="s">
        <v>225</v>
      </c>
      <c r="C121" s="3"/>
      <c r="D121" s="11"/>
      <c r="E121" s="13"/>
      <c r="F121" s="13"/>
    </row>
    <row r="122" spans="1:6" s="7" customFormat="1" ht="32.25" customHeight="1" x14ac:dyDescent="0.25">
      <c r="A122" s="339" t="s">
        <v>557</v>
      </c>
      <c r="B122" s="75" t="s">
        <v>222</v>
      </c>
      <c r="C122" s="75" t="s">
        <v>71</v>
      </c>
      <c r="D122" s="76">
        <f>D123+D124+D127+D128+D135+D138+D141</f>
        <v>650</v>
      </c>
      <c r="E122" s="76">
        <f>E123+E127+E128+E135+E138+E141</f>
        <v>250</v>
      </c>
      <c r="F122" s="76">
        <f>F123+F127+F128+F135+F138+F141</f>
        <v>300</v>
      </c>
    </row>
    <row r="123" spans="1:6" s="7" customFormat="1" ht="15.75" customHeight="1" x14ac:dyDescent="0.25">
      <c r="A123" s="255" t="s">
        <v>167</v>
      </c>
      <c r="B123" s="17" t="s">
        <v>117</v>
      </c>
      <c r="C123" s="3" t="s">
        <v>72</v>
      </c>
      <c r="D123" s="11">
        <v>150</v>
      </c>
      <c r="E123" s="11">
        <v>250</v>
      </c>
      <c r="F123" s="11">
        <v>300</v>
      </c>
    </row>
    <row r="124" spans="1:6" s="7" customFormat="1" ht="31.9" hidden="1" customHeight="1" x14ac:dyDescent="0.25">
      <c r="A124" s="255" t="s">
        <v>619</v>
      </c>
      <c r="B124" s="17" t="s">
        <v>225</v>
      </c>
      <c r="C124" s="3" t="s">
        <v>72</v>
      </c>
      <c r="D124" s="11"/>
      <c r="E124" s="13">
        <v>0</v>
      </c>
      <c r="F124" s="13">
        <v>0</v>
      </c>
    </row>
    <row r="125" spans="1:6" s="47" customFormat="1" ht="19.5" hidden="1" customHeight="1" x14ac:dyDescent="0.2">
      <c r="A125" s="422"/>
      <c r="B125" s="17"/>
      <c r="C125" s="3"/>
      <c r="D125" s="12"/>
      <c r="E125" s="22"/>
      <c r="F125" s="22"/>
    </row>
    <row r="126" spans="1:6" s="7" customFormat="1" ht="22.5" hidden="1" customHeight="1" x14ac:dyDescent="0.25">
      <c r="A126" s="255"/>
      <c r="B126" s="17"/>
      <c r="C126" s="3"/>
      <c r="D126" s="11"/>
      <c r="E126" s="13"/>
      <c r="F126" s="13"/>
    </row>
    <row r="127" spans="1:6" s="7" customFormat="1" ht="31.15" hidden="1" customHeight="1" x14ac:dyDescent="0.25">
      <c r="A127" s="255" t="s">
        <v>404</v>
      </c>
      <c r="B127" s="17" t="s">
        <v>117</v>
      </c>
      <c r="C127" s="3" t="s">
        <v>403</v>
      </c>
      <c r="D127" s="11"/>
      <c r="E127" s="11">
        <v>0</v>
      </c>
      <c r="F127" s="11">
        <v>0</v>
      </c>
    </row>
    <row r="128" spans="1:6" s="7" customFormat="1" ht="33" hidden="1" customHeight="1" x14ac:dyDescent="0.25">
      <c r="A128" s="341" t="s">
        <v>334</v>
      </c>
      <c r="B128" s="90" t="s">
        <v>117</v>
      </c>
      <c r="C128" s="78"/>
      <c r="D128" s="99">
        <f>SUM(D129:D134)</f>
        <v>0</v>
      </c>
      <c r="E128" s="21">
        <f>SUM(E129:E134)</f>
        <v>0</v>
      </c>
      <c r="F128" s="21">
        <f>SUM(F129:F134)</f>
        <v>0</v>
      </c>
    </row>
    <row r="129" spans="1:6" s="7" customFormat="1" ht="48" hidden="1" customHeight="1" x14ac:dyDescent="0.25">
      <c r="A129" s="254" t="s">
        <v>342</v>
      </c>
      <c r="B129" s="3" t="s">
        <v>117</v>
      </c>
      <c r="C129" s="4" t="s">
        <v>335</v>
      </c>
      <c r="D129" s="11">
        <v>0</v>
      </c>
      <c r="E129" s="13">
        <v>0</v>
      </c>
      <c r="F129" s="13">
        <v>0</v>
      </c>
    </row>
    <row r="130" spans="1:6" s="7" customFormat="1" ht="28.9" hidden="1" customHeight="1" x14ac:dyDescent="0.25">
      <c r="A130" s="254" t="s">
        <v>516</v>
      </c>
      <c r="B130" s="3" t="s">
        <v>117</v>
      </c>
      <c r="C130" s="4" t="s">
        <v>480</v>
      </c>
      <c r="D130" s="11"/>
      <c r="E130" s="13"/>
      <c r="F130" s="13"/>
    </row>
    <row r="131" spans="1:6" s="7" customFormat="1" ht="57.75" hidden="1" customHeight="1" x14ac:dyDescent="0.25">
      <c r="A131" s="254" t="s">
        <v>389</v>
      </c>
      <c r="B131" s="3" t="s">
        <v>117</v>
      </c>
      <c r="C131" s="4" t="s">
        <v>336</v>
      </c>
      <c r="D131" s="11"/>
      <c r="E131" s="13"/>
      <c r="F131" s="13"/>
    </row>
    <row r="132" spans="1:6" s="7" customFormat="1" ht="18.600000000000001" hidden="1" customHeight="1" x14ac:dyDescent="0.25">
      <c r="A132" s="254" t="s">
        <v>389</v>
      </c>
      <c r="B132" s="3" t="s">
        <v>225</v>
      </c>
      <c r="C132" s="4" t="s">
        <v>335</v>
      </c>
      <c r="D132" s="11"/>
      <c r="E132" s="13"/>
      <c r="F132" s="13"/>
    </row>
    <row r="133" spans="1:6" s="7" customFormat="1" ht="56.25" hidden="1" customHeight="1" x14ac:dyDescent="0.25">
      <c r="A133" s="254" t="s">
        <v>586</v>
      </c>
      <c r="B133" s="3" t="s">
        <v>117</v>
      </c>
      <c r="C133" s="4" t="s">
        <v>580</v>
      </c>
      <c r="D133" s="11"/>
      <c r="E133" s="11">
        <v>0</v>
      </c>
      <c r="F133" s="11">
        <v>0</v>
      </c>
    </row>
    <row r="134" spans="1:6" s="7" customFormat="1" ht="31.9" hidden="1" customHeight="1" x14ac:dyDescent="0.25">
      <c r="A134" s="254" t="s">
        <v>517</v>
      </c>
      <c r="B134" s="3" t="s">
        <v>117</v>
      </c>
      <c r="C134" s="4" t="s">
        <v>514</v>
      </c>
      <c r="D134" s="11"/>
      <c r="E134" s="13"/>
      <c r="F134" s="13"/>
    </row>
    <row r="135" spans="1:6" s="7" customFormat="1" ht="31.9" hidden="1" customHeight="1" x14ac:dyDescent="0.25">
      <c r="A135" s="341" t="s">
        <v>388</v>
      </c>
      <c r="B135" s="90" t="s">
        <v>225</v>
      </c>
      <c r="C135" s="4"/>
      <c r="D135" s="99">
        <f>D136+D137</f>
        <v>0</v>
      </c>
      <c r="E135" s="21">
        <f>E136+E137</f>
        <v>0</v>
      </c>
      <c r="F135" s="21">
        <f>F136+F137</f>
        <v>0</v>
      </c>
    </row>
    <row r="136" spans="1:6" s="7" customFormat="1" ht="17.649999999999999" hidden="1" customHeight="1" x14ac:dyDescent="0.25">
      <c r="A136" s="254" t="s">
        <v>399</v>
      </c>
      <c r="B136" s="3" t="s">
        <v>225</v>
      </c>
      <c r="C136" s="4" t="s">
        <v>390</v>
      </c>
      <c r="D136" s="11"/>
      <c r="E136" s="13"/>
      <c r="F136" s="13"/>
    </row>
    <row r="137" spans="1:6" s="7" customFormat="1" ht="17.649999999999999" hidden="1" customHeight="1" x14ac:dyDescent="0.25">
      <c r="A137" s="254" t="s">
        <v>400</v>
      </c>
      <c r="B137" s="3" t="s">
        <v>225</v>
      </c>
      <c r="C137" s="4" t="s">
        <v>391</v>
      </c>
      <c r="D137" s="11"/>
      <c r="E137" s="13"/>
      <c r="F137" s="13"/>
    </row>
    <row r="138" spans="1:6" s="7" customFormat="1" ht="44.45" customHeight="1" x14ac:dyDescent="0.25">
      <c r="A138" s="341" t="s">
        <v>509</v>
      </c>
      <c r="B138" s="90" t="s">
        <v>117</v>
      </c>
      <c r="C138" s="78"/>
      <c r="D138" s="99">
        <f>D139+D140</f>
        <v>500</v>
      </c>
      <c r="E138" s="21">
        <f>E139+E140</f>
        <v>0</v>
      </c>
      <c r="F138" s="21">
        <f>F139+F140</f>
        <v>0</v>
      </c>
    </row>
    <row r="139" spans="1:6" s="7" customFormat="1" ht="50.45" customHeight="1" x14ac:dyDescent="0.25">
      <c r="A139" s="254" t="s">
        <v>511</v>
      </c>
      <c r="B139" s="3" t="s">
        <v>117</v>
      </c>
      <c r="C139" s="4" t="s">
        <v>481</v>
      </c>
      <c r="D139" s="11">
        <v>495</v>
      </c>
      <c r="E139" s="13">
        <v>0</v>
      </c>
      <c r="F139" s="13">
        <v>0</v>
      </c>
    </row>
    <row r="140" spans="1:6" s="7" customFormat="1" ht="58.15" customHeight="1" x14ac:dyDescent="0.25">
      <c r="A140" s="254" t="s">
        <v>510</v>
      </c>
      <c r="B140" s="3" t="s">
        <v>117</v>
      </c>
      <c r="C140" s="4" t="s">
        <v>898</v>
      </c>
      <c r="D140" s="11">
        <v>5</v>
      </c>
      <c r="E140" s="13">
        <v>0</v>
      </c>
      <c r="F140" s="13">
        <v>0</v>
      </c>
    </row>
    <row r="141" spans="1:6" s="48" customFormat="1" ht="16.899999999999999" hidden="1" customHeight="1" x14ac:dyDescent="0.25">
      <c r="A141" s="266" t="s">
        <v>515</v>
      </c>
      <c r="B141" s="19" t="s">
        <v>117</v>
      </c>
      <c r="C141" s="78"/>
      <c r="D141" s="99">
        <f>D142+D143</f>
        <v>0</v>
      </c>
      <c r="E141" s="21">
        <f>E142+E143</f>
        <v>0</v>
      </c>
      <c r="F141" s="21">
        <f>F142+F143</f>
        <v>0</v>
      </c>
    </row>
    <row r="142" spans="1:6" s="7" customFormat="1" ht="35.450000000000003" hidden="1" customHeight="1" x14ac:dyDescent="0.25">
      <c r="A142" s="255" t="s">
        <v>518</v>
      </c>
      <c r="B142" s="17" t="s">
        <v>117</v>
      </c>
      <c r="C142" s="4" t="s">
        <v>520</v>
      </c>
      <c r="D142" s="11">
        <v>0</v>
      </c>
      <c r="E142" s="13">
        <v>0</v>
      </c>
      <c r="F142" s="13">
        <v>0</v>
      </c>
    </row>
    <row r="143" spans="1:6" s="7" customFormat="1" ht="45.6" hidden="1" customHeight="1" x14ac:dyDescent="0.25">
      <c r="A143" s="255" t="s">
        <v>519</v>
      </c>
      <c r="B143" s="17" t="s">
        <v>117</v>
      </c>
      <c r="C143" s="4" t="s">
        <v>581</v>
      </c>
      <c r="D143" s="11"/>
      <c r="E143" s="13"/>
      <c r="F143" s="13"/>
    </row>
    <row r="144" spans="1:6" s="7" customFormat="1" ht="35.25" customHeight="1" x14ac:dyDescent="0.25">
      <c r="A144" s="339" t="s">
        <v>432</v>
      </c>
      <c r="B144" s="75" t="s">
        <v>222</v>
      </c>
      <c r="C144" s="75" t="s">
        <v>68</v>
      </c>
      <c r="D144" s="76">
        <f>D145</f>
        <v>200</v>
      </c>
      <c r="E144" s="76">
        <f>E145</f>
        <v>200</v>
      </c>
      <c r="F144" s="76">
        <f>F145</f>
        <v>200</v>
      </c>
    </row>
    <row r="145" spans="1:6" s="47" customFormat="1" ht="28.9" customHeight="1" x14ac:dyDescent="0.2">
      <c r="A145" s="255" t="s">
        <v>122</v>
      </c>
      <c r="B145" s="17" t="s">
        <v>117</v>
      </c>
      <c r="C145" s="3" t="s">
        <v>69</v>
      </c>
      <c r="D145" s="11">
        <v>200</v>
      </c>
      <c r="E145" s="11">
        <v>200</v>
      </c>
      <c r="F145" s="11">
        <v>200</v>
      </c>
    </row>
    <row r="146" spans="1:6" s="47" customFormat="1" ht="32.25" customHeight="1" x14ac:dyDescent="0.2">
      <c r="A146" s="339" t="s">
        <v>556</v>
      </c>
      <c r="B146" s="75" t="s">
        <v>222</v>
      </c>
      <c r="C146" s="77" t="s">
        <v>58</v>
      </c>
      <c r="D146" s="76">
        <f>D147+D167+D169+D172+D155+D175+D177+D180+D183+D194+D191</f>
        <v>54300.656340000001</v>
      </c>
      <c r="E146" s="76">
        <f>E147+E167+E169+E172+E155+E175+E177+E180+E183+E194+E191</f>
        <v>32587.253030000003</v>
      </c>
      <c r="F146" s="76">
        <f>F147+F167+F169+F172+F155+F175+F177+F180+F183+F194+F191</f>
        <v>32587.253030000003</v>
      </c>
    </row>
    <row r="147" spans="1:6" s="7" customFormat="1" ht="37.9" customHeight="1" x14ac:dyDescent="0.25">
      <c r="A147" s="266" t="s">
        <v>292</v>
      </c>
      <c r="B147" s="19" t="s">
        <v>117</v>
      </c>
      <c r="C147" s="78" t="s">
        <v>60</v>
      </c>
      <c r="D147" s="99">
        <f>D149+D150+D161+D164</f>
        <v>12158.155150000002</v>
      </c>
      <c r="E147" s="21">
        <f>E149+E150</f>
        <v>8899.4500000000007</v>
      </c>
      <c r="F147" s="21">
        <f>F149+F150</f>
        <v>8899.4500000000007</v>
      </c>
    </row>
    <row r="148" spans="1:6" s="7" customFormat="1" ht="15" hidden="1" customHeight="1" x14ac:dyDescent="0.25">
      <c r="A148" s="255" t="s">
        <v>125</v>
      </c>
      <c r="B148" s="17" t="s">
        <v>425</v>
      </c>
      <c r="C148" s="4" t="s">
        <v>126</v>
      </c>
      <c r="D148" s="11"/>
      <c r="E148" s="13"/>
      <c r="F148" s="13"/>
    </row>
    <row r="149" spans="1:6" s="7" customFormat="1" ht="15" customHeight="1" x14ac:dyDescent="0.25">
      <c r="A149" s="255" t="s">
        <v>296</v>
      </c>
      <c r="B149" s="17" t="s">
        <v>117</v>
      </c>
      <c r="C149" s="4" t="s">
        <v>61</v>
      </c>
      <c r="D149" s="11">
        <f>8899.45+300+100+120.8+1055+55.2+788.7+238.2</f>
        <v>11557.350000000002</v>
      </c>
      <c r="E149" s="11">
        <v>8899.4500000000007</v>
      </c>
      <c r="F149" s="11">
        <v>8899.4500000000007</v>
      </c>
    </row>
    <row r="150" spans="1:6" s="7" customFormat="1" ht="28.9" customHeight="1" x14ac:dyDescent="0.25">
      <c r="A150" s="255" t="s">
        <v>94</v>
      </c>
      <c r="B150" s="17" t="s">
        <v>117</v>
      </c>
      <c r="C150" s="4" t="s">
        <v>77</v>
      </c>
      <c r="D150" s="11">
        <f>447.713</f>
        <v>447.71300000000002</v>
      </c>
      <c r="E150" s="11">
        <v>0</v>
      </c>
      <c r="F150" s="11">
        <v>0</v>
      </c>
    </row>
    <row r="151" spans="1:6" s="7" customFormat="1" ht="34.15" hidden="1" customHeight="1" x14ac:dyDescent="0.25">
      <c r="A151" s="277" t="s">
        <v>325</v>
      </c>
      <c r="B151" s="42" t="s">
        <v>117</v>
      </c>
      <c r="C151" s="158" t="s">
        <v>343</v>
      </c>
      <c r="D151" s="95">
        <f>D152+D153</f>
        <v>0</v>
      </c>
      <c r="E151" s="15">
        <f>E152+E153</f>
        <v>0</v>
      </c>
      <c r="F151" s="15">
        <f>F152+F153</f>
        <v>0</v>
      </c>
    </row>
    <row r="152" spans="1:6" s="7" customFormat="1" ht="43.15" hidden="1" customHeight="1" x14ac:dyDescent="0.25">
      <c r="A152" s="255" t="s">
        <v>326</v>
      </c>
      <c r="B152" s="17" t="s">
        <v>117</v>
      </c>
      <c r="C152" s="4" t="s">
        <v>327</v>
      </c>
      <c r="D152" s="11"/>
      <c r="E152" s="13"/>
      <c r="F152" s="13"/>
    </row>
    <row r="153" spans="1:6" s="7" customFormat="1" ht="60.6" hidden="1" customHeight="1" x14ac:dyDescent="0.25">
      <c r="A153" s="255" t="s">
        <v>344</v>
      </c>
      <c r="B153" s="17" t="s">
        <v>117</v>
      </c>
      <c r="C153" s="4" t="s">
        <v>328</v>
      </c>
      <c r="D153" s="11"/>
      <c r="E153" s="13"/>
      <c r="F153" s="13"/>
    </row>
    <row r="154" spans="1:6" s="7" customFormat="1" ht="57" hidden="1" customHeight="1" x14ac:dyDescent="0.25">
      <c r="A154" s="255" t="s">
        <v>407</v>
      </c>
      <c r="B154" s="17" t="s">
        <v>117</v>
      </c>
      <c r="C154" s="4" t="s">
        <v>424</v>
      </c>
      <c r="D154" s="11">
        <f>25-25</f>
        <v>0</v>
      </c>
      <c r="E154" s="13">
        <f>25-25</f>
        <v>0</v>
      </c>
      <c r="F154" s="13">
        <f>25-25</f>
        <v>0</v>
      </c>
    </row>
    <row r="155" spans="1:6" s="7" customFormat="1" ht="31.9" customHeight="1" x14ac:dyDescent="0.25">
      <c r="A155" s="266" t="s">
        <v>462</v>
      </c>
      <c r="B155" s="19" t="s">
        <v>117</v>
      </c>
      <c r="C155" s="78" t="s">
        <v>59</v>
      </c>
      <c r="D155" s="99">
        <f>D156+D157</f>
        <v>9285.8253499999992</v>
      </c>
      <c r="E155" s="21">
        <f>E156+E157</f>
        <v>0</v>
      </c>
      <c r="F155" s="21">
        <f>F156+F157</f>
        <v>0</v>
      </c>
    </row>
    <row r="156" spans="1:6" s="7" customFormat="1" ht="32.450000000000003" customHeight="1" x14ac:dyDescent="0.25">
      <c r="A156" s="255" t="s">
        <v>463</v>
      </c>
      <c r="B156" s="17" t="s">
        <v>117</v>
      </c>
      <c r="C156" s="4" t="s">
        <v>465</v>
      </c>
      <c r="D156" s="11">
        <f>'2  '!D66</f>
        <v>9192.9670999999998</v>
      </c>
      <c r="E156" s="11">
        <f>'2  '!E66</f>
        <v>0</v>
      </c>
      <c r="F156" s="11">
        <f>'2  '!F66</f>
        <v>0</v>
      </c>
    </row>
    <row r="157" spans="1:6" s="7" customFormat="1" ht="46.15" customHeight="1" x14ac:dyDescent="0.25">
      <c r="A157" s="255" t="s">
        <v>464</v>
      </c>
      <c r="B157" s="17" t="s">
        <v>117</v>
      </c>
      <c r="C157" s="4" t="s">
        <v>466</v>
      </c>
      <c r="D157" s="11">
        <v>92.858249999999998</v>
      </c>
      <c r="E157" s="13">
        <v>0</v>
      </c>
      <c r="F157" s="13">
        <v>0</v>
      </c>
    </row>
    <row r="158" spans="1:6" s="7" customFormat="1" ht="33" hidden="1" customHeight="1" x14ac:dyDescent="0.25">
      <c r="A158" s="266" t="s">
        <v>533</v>
      </c>
      <c r="B158" s="19" t="s">
        <v>117</v>
      </c>
      <c r="C158" s="78" t="s">
        <v>59</v>
      </c>
      <c r="D158" s="99">
        <f>D159+D160</f>
        <v>0</v>
      </c>
      <c r="E158" s="21">
        <f>E159+E160</f>
        <v>0</v>
      </c>
      <c r="F158" s="21">
        <f>F159+F160</f>
        <v>0</v>
      </c>
    </row>
    <row r="159" spans="1:6" s="7" customFormat="1" ht="46.15" hidden="1" customHeight="1" x14ac:dyDescent="0.25">
      <c r="A159" s="255" t="s">
        <v>534</v>
      </c>
      <c r="B159" s="17" t="s">
        <v>117</v>
      </c>
      <c r="C159" s="4" t="s">
        <v>535</v>
      </c>
      <c r="D159" s="11"/>
      <c r="E159" s="13"/>
      <c r="F159" s="13"/>
    </row>
    <row r="160" spans="1:6" s="7" customFormat="1" ht="46.15" hidden="1" customHeight="1" x14ac:dyDescent="0.25">
      <c r="A160" s="255" t="s">
        <v>536</v>
      </c>
      <c r="B160" s="17" t="s">
        <v>117</v>
      </c>
      <c r="C160" s="4" t="s">
        <v>537</v>
      </c>
      <c r="D160" s="11"/>
      <c r="E160" s="13"/>
      <c r="F160" s="13"/>
    </row>
    <row r="161" spans="1:6" s="7" customFormat="1" ht="40.9" customHeight="1" x14ac:dyDescent="0.25">
      <c r="A161" s="266" t="s">
        <v>538</v>
      </c>
      <c r="B161" s="19" t="s">
        <v>117</v>
      </c>
      <c r="C161" s="78" t="s">
        <v>540</v>
      </c>
      <c r="D161" s="99">
        <f>D162+D163</f>
        <v>102.06143</v>
      </c>
      <c r="E161" s="21">
        <f>E162+E163</f>
        <v>0</v>
      </c>
      <c r="F161" s="21">
        <f>F162+F163</f>
        <v>0</v>
      </c>
    </row>
    <row r="162" spans="1:6" s="7" customFormat="1" ht="44.45" customHeight="1" x14ac:dyDescent="0.25">
      <c r="A162" s="255" t="s">
        <v>539</v>
      </c>
      <c r="B162" s="17" t="s">
        <v>117</v>
      </c>
      <c r="C162" s="4" t="s">
        <v>540</v>
      </c>
      <c r="D162" s="11">
        <f>'2  '!D49</f>
        <v>102.04082</v>
      </c>
      <c r="E162" s="13">
        <v>0</v>
      </c>
      <c r="F162" s="13">
        <v>0</v>
      </c>
    </row>
    <row r="163" spans="1:6" s="7" customFormat="1" ht="59.45" customHeight="1" x14ac:dyDescent="0.25">
      <c r="A163" s="255" t="s">
        <v>541</v>
      </c>
      <c r="B163" s="17" t="s">
        <v>117</v>
      </c>
      <c r="C163" s="4" t="s">
        <v>540</v>
      </c>
      <c r="D163" s="11">
        <f>20.61/1000</f>
        <v>2.061E-2</v>
      </c>
      <c r="E163" s="13">
        <v>0</v>
      </c>
      <c r="F163" s="13">
        <v>0</v>
      </c>
    </row>
    <row r="164" spans="1:6" s="47" customFormat="1" ht="50.25" customHeight="1" x14ac:dyDescent="0.2">
      <c r="A164" s="266" t="s">
        <v>613</v>
      </c>
      <c r="B164" s="41" t="s">
        <v>117</v>
      </c>
      <c r="C164" s="85" t="s">
        <v>615</v>
      </c>
      <c r="D164" s="12">
        <f>D165+D166</f>
        <v>51.030719999999995</v>
      </c>
      <c r="E164" s="12">
        <f>E165+E166</f>
        <v>0</v>
      </c>
      <c r="F164" s="12">
        <f>F165+F166</f>
        <v>0</v>
      </c>
    </row>
    <row r="165" spans="1:6" s="7" customFormat="1" ht="59.45" customHeight="1" x14ac:dyDescent="0.25">
      <c r="A165" s="255" t="s">
        <v>539</v>
      </c>
      <c r="B165" s="17" t="s">
        <v>117</v>
      </c>
      <c r="C165" s="4" t="s">
        <v>615</v>
      </c>
      <c r="D165" s="11">
        <f>'2  '!D50</f>
        <v>51.020409999999998</v>
      </c>
      <c r="E165" s="13">
        <v>0</v>
      </c>
      <c r="F165" s="13">
        <v>0</v>
      </c>
    </row>
    <row r="166" spans="1:6" s="7" customFormat="1" ht="59.45" customHeight="1" x14ac:dyDescent="0.25">
      <c r="A166" s="255" t="s">
        <v>614</v>
      </c>
      <c r="B166" s="17" t="s">
        <v>117</v>
      </c>
      <c r="C166" s="4" t="s">
        <v>615</v>
      </c>
      <c r="D166" s="11">
        <v>1.031E-2</v>
      </c>
      <c r="E166" s="13">
        <v>0</v>
      </c>
      <c r="F166" s="13">
        <v>0</v>
      </c>
    </row>
    <row r="167" spans="1:6" s="7" customFormat="1" ht="44.65" customHeight="1" x14ac:dyDescent="0.25">
      <c r="A167" s="266" t="s">
        <v>293</v>
      </c>
      <c r="B167" s="19" t="s">
        <v>117</v>
      </c>
      <c r="C167" s="78" t="s">
        <v>62</v>
      </c>
      <c r="D167" s="99">
        <f>D168</f>
        <v>4903.3999999999996</v>
      </c>
      <c r="E167" s="21">
        <f>E168</f>
        <v>3524.1</v>
      </c>
      <c r="F167" s="21">
        <f>F168</f>
        <v>3524.1</v>
      </c>
    </row>
    <row r="168" spans="1:6" s="7" customFormat="1" ht="15" customHeight="1" x14ac:dyDescent="0.25">
      <c r="A168" s="255" t="s">
        <v>554</v>
      </c>
      <c r="B168" s="17" t="s">
        <v>117</v>
      </c>
      <c r="C168" s="4" t="s">
        <v>62</v>
      </c>
      <c r="D168" s="16">
        <f>3524.1+200+100+114+125+645.4+194.9</f>
        <v>4903.3999999999996</v>
      </c>
      <c r="E168" s="11">
        <v>3524.1</v>
      </c>
      <c r="F168" s="11">
        <v>3524.1</v>
      </c>
    </row>
    <row r="169" spans="1:6" s="7" customFormat="1" ht="60.6" customHeight="1" x14ac:dyDescent="0.25">
      <c r="A169" s="277" t="s">
        <v>611</v>
      </c>
      <c r="B169" s="42" t="s">
        <v>117</v>
      </c>
      <c r="C169" s="158" t="s">
        <v>330</v>
      </c>
      <c r="D169" s="95">
        <f>D170+D171</f>
        <v>1611.31423</v>
      </c>
      <c r="E169" s="15">
        <f>E170+E171</f>
        <v>0</v>
      </c>
      <c r="F169" s="15">
        <f>F170+F171</f>
        <v>0</v>
      </c>
    </row>
    <row r="170" spans="1:6" s="7" customFormat="1" ht="60" customHeight="1" x14ac:dyDescent="0.25">
      <c r="A170" s="255" t="s">
        <v>609</v>
      </c>
      <c r="B170" s="17" t="s">
        <v>117</v>
      </c>
      <c r="C170" s="4" t="s">
        <v>551</v>
      </c>
      <c r="D170" s="11">
        <f>'2  '!D53</f>
        <v>1608.7142899999999</v>
      </c>
      <c r="E170" s="11">
        <v>0</v>
      </c>
      <c r="F170" s="13">
        <v>0</v>
      </c>
    </row>
    <row r="171" spans="1:6" s="7" customFormat="1" ht="78" customHeight="1" x14ac:dyDescent="0.25">
      <c r="A171" s="255" t="s">
        <v>610</v>
      </c>
      <c r="B171" s="17" t="s">
        <v>117</v>
      </c>
      <c r="C171" s="4" t="s">
        <v>551</v>
      </c>
      <c r="D171" s="11">
        <f>16.24964-13.6497</f>
        <v>2.5999400000000001</v>
      </c>
      <c r="E171" s="13">
        <v>0</v>
      </c>
      <c r="F171" s="13">
        <v>0</v>
      </c>
    </row>
    <row r="172" spans="1:6" s="7" customFormat="1" ht="64.5" customHeight="1" x14ac:dyDescent="0.25">
      <c r="A172" s="277" t="s">
        <v>611</v>
      </c>
      <c r="B172" s="42" t="s">
        <v>117</v>
      </c>
      <c r="C172" s="158" t="s">
        <v>330</v>
      </c>
      <c r="D172" s="95">
        <f>D173+D174</f>
        <v>169.70202</v>
      </c>
      <c r="E172" s="15">
        <f>E173+E174</f>
        <v>169.70202</v>
      </c>
      <c r="F172" s="15">
        <f>F173+F174</f>
        <v>169.70202</v>
      </c>
    </row>
    <row r="173" spans="1:6" s="7" customFormat="1" ht="44.65" customHeight="1" x14ac:dyDescent="0.25">
      <c r="A173" s="255" t="s">
        <v>345</v>
      </c>
      <c r="B173" s="17" t="s">
        <v>117</v>
      </c>
      <c r="C173" s="4" t="s">
        <v>331</v>
      </c>
      <c r="D173" s="11">
        <v>168.005</v>
      </c>
      <c r="E173" s="13">
        <v>168.005</v>
      </c>
      <c r="F173" s="13">
        <v>168.005</v>
      </c>
    </row>
    <row r="174" spans="1:6" s="7" customFormat="1" ht="66.75" customHeight="1" x14ac:dyDescent="0.25">
      <c r="A174" s="255" t="s">
        <v>346</v>
      </c>
      <c r="B174" s="17" t="s">
        <v>117</v>
      </c>
      <c r="C174" s="4" t="s">
        <v>582</v>
      </c>
      <c r="D174" s="11">
        <v>1.69702</v>
      </c>
      <c r="E174" s="13">
        <v>1.69702</v>
      </c>
      <c r="F174" s="13">
        <v>1.69702</v>
      </c>
    </row>
    <row r="175" spans="1:6" s="7" customFormat="1" ht="61.15" customHeight="1" x14ac:dyDescent="0.25">
      <c r="A175" s="266" t="s">
        <v>294</v>
      </c>
      <c r="B175" s="19" t="s">
        <v>117</v>
      </c>
      <c r="C175" s="78" t="s">
        <v>63</v>
      </c>
      <c r="D175" s="99">
        <f>D176</f>
        <v>2879.8999999999996</v>
      </c>
      <c r="E175" s="21">
        <f>E176</f>
        <v>1949.5</v>
      </c>
      <c r="F175" s="21">
        <f>F176</f>
        <v>1949.5</v>
      </c>
    </row>
    <row r="176" spans="1:6" s="7" customFormat="1" ht="16.5" customHeight="1" x14ac:dyDescent="0.25">
      <c r="A176" s="255" t="s">
        <v>124</v>
      </c>
      <c r="B176" s="17" t="s">
        <v>117</v>
      </c>
      <c r="C176" s="4" t="s">
        <v>63</v>
      </c>
      <c r="D176" s="16">
        <f>1949.5+120+60+173.6+106.7+69.1+308+93</f>
        <v>2879.8999999999996</v>
      </c>
      <c r="E176" s="11">
        <v>1949.5</v>
      </c>
      <c r="F176" s="11">
        <v>1949.5</v>
      </c>
    </row>
    <row r="177" spans="1:6" ht="49.15" customHeight="1" x14ac:dyDescent="0.2">
      <c r="A177" s="266" t="s">
        <v>337</v>
      </c>
      <c r="B177" s="19" t="s">
        <v>117</v>
      </c>
      <c r="C177" s="90"/>
      <c r="D177" s="99">
        <f>D178+D179</f>
        <v>1010.10101</v>
      </c>
      <c r="E177" s="21">
        <f>E178+E179</f>
        <v>1010.10101</v>
      </c>
      <c r="F177" s="21">
        <f>F178+F179</f>
        <v>1010.10101</v>
      </c>
    </row>
    <row r="178" spans="1:6" ht="44.65" customHeight="1" x14ac:dyDescent="0.2">
      <c r="A178" s="255" t="s">
        <v>359</v>
      </c>
      <c r="B178" s="17" t="s">
        <v>117</v>
      </c>
      <c r="C178" s="3" t="s">
        <v>392</v>
      </c>
      <c r="D178" s="11">
        <v>1000</v>
      </c>
      <c r="E178" s="13">
        <v>1000</v>
      </c>
      <c r="F178" s="13">
        <v>1000</v>
      </c>
    </row>
    <row r="179" spans="1:6" ht="63" customHeight="1" x14ac:dyDescent="0.2">
      <c r="A179" s="255" t="s">
        <v>360</v>
      </c>
      <c r="B179" s="17" t="s">
        <v>117</v>
      </c>
      <c r="C179" s="3" t="s">
        <v>607</v>
      </c>
      <c r="D179" s="11">
        <v>10.10101</v>
      </c>
      <c r="E179" s="13">
        <v>10.10101</v>
      </c>
      <c r="F179" s="13">
        <v>10.10101</v>
      </c>
    </row>
    <row r="180" spans="1:6" s="7" customFormat="1" ht="19.899999999999999" customHeight="1" x14ac:dyDescent="0.25">
      <c r="A180" s="266" t="s">
        <v>298</v>
      </c>
      <c r="B180" s="19" t="s">
        <v>117</v>
      </c>
      <c r="C180" s="78" t="s">
        <v>490</v>
      </c>
      <c r="D180" s="99">
        <f>D181+D182</f>
        <v>2198.1999999999998</v>
      </c>
      <c r="E180" s="21">
        <f>E181+E182</f>
        <v>1347.2</v>
      </c>
      <c r="F180" s="21">
        <f>F181+F182</f>
        <v>1347.2</v>
      </c>
    </row>
    <row r="181" spans="1:6" s="7" customFormat="1" ht="31.15" customHeight="1" x14ac:dyDescent="0.25">
      <c r="A181" s="255" t="s">
        <v>297</v>
      </c>
      <c r="B181" s="17" t="s">
        <v>117</v>
      </c>
      <c r="C181" s="4" t="s">
        <v>64</v>
      </c>
      <c r="D181" s="16">
        <f>1347.2+140+40+173+106.8+300.5+90.7</f>
        <v>2198.1999999999998</v>
      </c>
      <c r="E181" s="11">
        <v>1347.2</v>
      </c>
      <c r="F181" s="11">
        <v>1347.2</v>
      </c>
    </row>
    <row r="182" spans="1:6" s="7" customFormat="1" ht="45.75" hidden="1" customHeight="1" x14ac:dyDescent="0.25">
      <c r="A182" s="255" t="s">
        <v>295</v>
      </c>
      <c r="B182" s="17" t="s">
        <v>426</v>
      </c>
      <c r="C182" s="4" t="s">
        <v>265</v>
      </c>
      <c r="D182" s="11"/>
      <c r="E182" s="13"/>
      <c r="F182" s="13"/>
    </row>
    <row r="183" spans="1:6" s="7" customFormat="1" ht="32.450000000000003" customHeight="1" x14ac:dyDescent="0.25">
      <c r="A183" s="266" t="s">
        <v>487</v>
      </c>
      <c r="B183" s="19" t="s">
        <v>117</v>
      </c>
      <c r="C183" s="78"/>
      <c r="D183" s="99">
        <f>D184+D186</f>
        <v>19361.962680000001</v>
      </c>
      <c r="E183" s="21">
        <f>E184+E186</f>
        <v>15687.2</v>
      </c>
      <c r="F183" s="21">
        <f>F184+F186</f>
        <v>15687.2</v>
      </c>
    </row>
    <row r="184" spans="1:6" s="7" customFormat="1" ht="34.5" customHeight="1" x14ac:dyDescent="0.25">
      <c r="A184" s="266" t="s">
        <v>504</v>
      </c>
      <c r="B184" s="19" t="s">
        <v>117</v>
      </c>
      <c r="C184" s="78" t="s">
        <v>488</v>
      </c>
      <c r="D184" s="99">
        <f>D185</f>
        <v>13226.900000000001</v>
      </c>
      <c r="E184" s="21">
        <f>E185</f>
        <v>11174.7</v>
      </c>
      <c r="F184" s="21">
        <f>F185</f>
        <v>11174.7</v>
      </c>
    </row>
    <row r="185" spans="1:6" s="7" customFormat="1" ht="24.75" customHeight="1" x14ac:dyDescent="0.25">
      <c r="A185" s="255" t="s">
        <v>505</v>
      </c>
      <c r="B185" s="42" t="s">
        <v>117</v>
      </c>
      <c r="C185" s="158" t="s">
        <v>488</v>
      </c>
      <c r="D185" s="11">
        <f>11174.7+200+500+742+435.5+113.2+47.2+14.3</f>
        <v>13226.900000000001</v>
      </c>
      <c r="E185" s="11">
        <v>11174.7</v>
      </c>
      <c r="F185" s="11">
        <v>11174.7</v>
      </c>
    </row>
    <row r="186" spans="1:6" s="7" customFormat="1" ht="32.25" customHeight="1" x14ac:dyDescent="0.25">
      <c r="A186" s="266" t="s">
        <v>818</v>
      </c>
      <c r="B186" s="19" t="s">
        <v>117</v>
      </c>
      <c r="C186" s="78" t="s">
        <v>489</v>
      </c>
      <c r="D186" s="99">
        <f>D187</f>
        <v>6135.06268</v>
      </c>
      <c r="E186" s="21">
        <f>E187</f>
        <v>4512.5</v>
      </c>
      <c r="F186" s="21">
        <f>F187</f>
        <v>4512.5</v>
      </c>
    </row>
    <row r="187" spans="1:6" s="7" customFormat="1" ht="24.75" customHeight="1" x14ac:dyDescent="0.25">
      <c r="A187" s="255" t="s">
        <v>506</v>
      </c>
      <c r="B187" s="17" t="s">
        <v>117</v>
      </c>
      <c r="C187" s="158" t="s">
        <v>489</v>
      </c>
      <c r="D187" s="11">
        <f>4512.5+150+200+278+189.7+618.09018+186.7725</f>
        <v>6135.06268</v>
      </c>
      <c r="E187" s="11">
        <v>4512.5</v>
      </c>
      <c r="F187" s="11">
        <v>4512.5</v>
      </c>
    </row>
    <row r="188" spans="1:6" s="7" customFormat="1" ht="33" hidden="1" customHeight="1" x14ac:dyDescent="0.25">
      <c r="A188" s="422" t="s">
        <v>235</v>
      </c>
      <c r="B188" s="17" t="s">
        <v>427</v>
      </c>
      <c r="C188" s="85" t="s">
        <v>28</v>
      </c>
      <c r="D188" s="12">
        <f>D189+D190+D193</f>
        <v>0</v>
      </c>
      <c r="E188" s="22">
        <f>E189+E190+E193</f>
        <v>0</v>
      </c>
      <c r="F188" s="22">
        <f>F189+F190+F193</f>
        <v>0</v>
      </c>
    </row>
    <row r="189" spans="1:6" s="7" customFormat="1" ht="17.25" hidden="1" customHeight="1" x14ac:dyDescent="0.25">
      <c r="A189" s="255" t="s">
        <v>95</v>
      </c>
      <c r="B189" s="17" t="s">
        <v>428</v>
      </c>
      <c r="C189" s="4" t="s">
        <v>287</v>
      </c>
      <c r="D189" s="11">
        <v>0</v>
      </c>
      <c r="E189" s="13">
        <v>0</v>
      </c>
      <c r="F189" s="13">
        <v>0</v>
      </c>
    </row>
    <row r="190" spans="1:6" s="7" customFormat="1" ht="19.5" hidden="1" customHeight="1" x14ac:dyDescent="0.25">
      <c r="A190" s="255" t="s">
        <v>289</v>
      </c>
      <c r="B190" s="17" t="s">
        <v>429</v>
      </c>
      <c r="C190" s="4" t="s">
        <v>288</v>
      </c>
      <c r="D190" s="11"/>
      <c r="E190" s="13"/>
      <c r="F190" s="13"/>
    </row>
    <row r="191" spans="1:6" s="47" customFormat="1" ht="33.75" customHeight="1" x14ac:dyDescent="0.2">
      <c r="A191" s="422" t="s">
        <v>449</v>
      </c>
      <c r="B191" s="41" t="s">
        <v>117</v>
      </c>
      <c r="C191" s="85" t="s">
        <v>634</v>
      </c>
      <c r="D191" s="12">
        <f>D192</f>
        <v>0</v>
      </c>
      <c r="E191" s="22">
        <f>E192</f>
        <v>0</v>
      </c>
      <c r="F191" s="22">
        <f>F192</f>
        <v>0</v>
      </c>
    </row>
    <row r="192" spans="1:6" s="7" customFormat="1" ht="31.5" hidden="1" customHeight="1" x14ac:dyDescent="0.25">
      <c r="A192" s="255" t="s">
        <v>633</v>
      </c>
      <c r="B192" s="17" t="s">
        <v>117</v>
      </c>
      <c r="C192" s="4" t="s">
        <v>634</v>
      </c>
      <c r="D192" s="11"/>
      <c r="E192" s="13"/>
      <c r="F192" s="13"/>
    </row>
    <row r="193" spans="1:6" s="7" customFormat="1" ht="12" hidden="1" customHeight="1" x14ac:dyDescent="0.25">
      <c r="A193" s="255"/>
      <c r="B193" s="17"/>
      <c r="C193" s="4"/>
      <c r="D193" s="11"/>
      <c r="E193" s="13"/>
      <c r="F193" s="13"/>
    </row>
    <row r="194" spans="1:6" s="175" customFormat="1" ht="67.5" customHeight="1" x14ac:dyDescent="0.25">
      <c r="A194" s="266" t="s">
        <v>584</v>
      </c>
      <c r="B194" s="19" t="s">
        <v>117</v>
      </c>
      <c r="C194" s="78" t="s">
        <v>583</v>
      </c>
      <c r="D194" s="99">
        <f>D195+D196</f>
        <v>722.09590000000003</v>
      </c>
      <c r="E194" s="21">
        <f>E195+E196</f>
        <v>0</v>
      </c>
      <c r="F194" s="21">
        <f>F195+F196</f>
        <v>0</v>
      </c>
    </row>
    <row r="195" spans="1:6" s="7" customFormat="1" ht="63.75" hidden="1" customHeight="1" x14ac:dyDescent="0.25">
      <c r="A195" s="255" t="s">
        <v>508</v>
      </c>
      <c r="B195" s="17" t="s">
        <v>117</v>
      </c>
      <c r="C195" s="4" t="s">
        <v>552</v>
      </c>
      <c r="D195" s="11">
        <v>0</v>
      </c>
      <c r="E195" s="13">
        <v>0</v>
      </c>
      <c r="F195" s="13">
        <v>0</v>
      </c>
    </row>
    <row r="196" spans="1:6" s="7" customFormat="1" ht="66.75" customHeight="1" x14ac:dyDescent="0.25">
      <c r="A196" s="255" t="s">
        <v>553</v>
      </c>
      <c r="B196" s="17" t="s">
        <v>117</v>
      </c>
      <c r="C196" s="4" t="s">
        <v>555</v>
      </c>
      <c r="D196" s="11">
        <f>7.22096+714.87494</f>
        <v>722.09590000000003</v>
      </c>
      <c r="E196" s="13">
        <v>0</v>
      </c>
      <c r="F196" s="13">
        <v>0</v>
      </c>
    </row>
    <row r="197" spans="1:6" s="7" customFormat="1" ht="45.6" customHeight="1" x14ac:dyDescent="0.25">
      <c r="A197" s="339" t="s">
        <v>560</v>
      </c>
      <c r="B197" s="75" t="s">
        <v>222</v>
      </c>
      <c r="C197" s="75" t="s">
        <v>251</v>
      </c>
      <c r="D197" s="76">
        <f>D200+D201+D198+D199</f>
        <v>72</v>
      </c>
      <c r="E197" s="76">
        <f>E200+E201+E198+E199</f>
        <v>200</v>
      </c>
      <c r="F197" s="76">
        <f>F200+F201+F198+F199</f>
        <v>200</v>
      </c>
    </row>
    <row r="198" spans="1:6" s="7" customFormat="1" ht="45.6" hidden="1" customHeight="1" x14ac:dyDescent="0.25">
      <c r="A198" s="255"/>
      <c r="B198" s="84"/>
      <c r="C198" s="3"/>
      <c r="D198" s="57"/>
      <c r="E198" s="57"/>
      <c r="F198" s="57"/>
    </row>
    <row r="199" spans="1:6" s="7" customFormat="1" ht="45.6" hidden="1" customHeight="1" x14ac:dyDescent="0.25">
      <c r="A199" s="255"/>
      <c r="B199" s="84"/>
      <c r="C199" s="3"/>
      <c r="D199" s="57"/>
      <c r="E199" s="57"/>
      <c r="F199" s="57"/>
    </row>
    <row r="200" spans="1:6" s="7" customFormat="1" ht="30.6" customHeight="1" x14ac:dyDescent="0.25">
      <c r="A200" s="255" t="s">
        <v>386</v>
      </c>
      <c r="B200" s="17" t="s">
        <v>117</v>
      </c>
      <c r="C200" s="4" t="s">
        <v>252</v>
      </c>
      <c r="D200" s="11">
        <f>197-128</f>
        <v>69</v>
      </c>
      <c r="E200" s="11">
        <v>197</v>
      </c>
      <c r="F200" s="11">
        <v>197</v>
      </c>
    </row>
    <row r="201" spans="1:6" s="7" customFormat="1" ht="30.6" customHeight="1" x14ac:dyDescent="0.25">
      <c r="A201" s="254" t="s">
        <v>604</v>
      </c>
      <c r="B201" s="3" t="s">
        <v>117</v>
      </c>
      <c r="C201" s="4" t="s">
        <v>252</v>
      </c>
      <c r="D201" s="11">
        <v>3</v>
      </c>
      <c r="E201" s="11">
        <v>3</v>
      </c>
      <c r="F201" s="11">
        <v>3</v>
      </c>
    </row>
    <row r="202" spans="1:6" s="7" customFormat="1" ht="61.9" customHeight="1" x14ac:dyDescent="0.25">
      <c r="A202" s="339" t="s">
        <v>585</v>
      </c>
      <c r="B202" s="75" t="s">
        <v>222</v>
      </c>
      <c r="C202" s="75" t="s">
        <v>253</v>
      </c>
      <c r="D202" s="76">
        <f>SUM(D203:D209)</f>
        <v>46653.259190000004</v>
      </c>
      <c r="E202" s="76">
        <f>SUM(E203:E209)</f>
        <v>22508</v>
      </c>
      <c r="F202" s="76">
        <f>SUM(F203:F209)</f>
        <v>23428</v>
      </c>
    </row>
    <row r="203" spans="1:6" s="7" customFormat="1" ht="43.15" hidden="1" customHeight="1" x14ac:dyDescent="0.25">
      <c r="A203" s="255" t="s">
        <v>457</v>
      </c>
      <c r="B203" s="17" t="s">
        <v>117</v>
      </c>
      <c r="C203" s="4" t="s">
        <v>258</v>
      </c>
      <c r="D203" s="11"/>
      <c r="E203" s="13"/>
      <c r="F203" s="13"/>
    </row>
    <row r="204" spans="1:6" s="7" customFormat="1" ht="18.600000000000001" customHeight="1" x14ac:dyDescent="0.25">
      <c r="A204" s="255" t="s">
        <v>210</v>
      </c>
      <c r="B204" s="17" t="s">
        <v>117</v>
      </c>
      <c r="C204" s="4" t="s">
        <v>260</v>
      </c>
      <c r="D204" s="11">
        <f>6275-121.21212+10638.25919-80.80808+50.50505+495.5092</f>
        <v>17257.253240000002</v>
      </c>
      <c r="E204" s="13">
        <v>6720</v>
      </c>
      <c r="F204" s="13">
        <v>6995</v>
      </c>
    </row>
    <row r="205" spans="1:6" s="7" customFormat="1" ht="15.6" customHeight="1" x14ac:dyDescent="0.25">
      <c r="A205" s="255" t="s">
        <v>175</v>
      </c>
      <c r="B205" s="17" t="s">
        <v>117</v>
      </c>
      <c r="C205" s="4" t="s">
        <v>259</v>
      </c>
      <c r="D205" s="11">
        <f>14740-495.5092</f>
        <v>14244.4908</v>
      </c>
      <c r="E205" s="13">
        <v>15788</v>
      </c>
      <c r="F205" s="13">
        <v>16433</v>
      </c>
    </row>
    <row r="206" spans="1:6" s="7" customFormat="1" ht="45.75" hidden="1" customHeight="1" x14ac:dyDescent="0.25">
      <c r="A206" s="255" t="s">
        <v>272</v>
      </c>
      <c r="B206" s="17" t="s">
        <v>117</v>
      </c>
      <c r="C206" s="4" t="s">
        <v>273</v>
      </c>
      <c r="D206" s="11"/>
      <c r="E206" s="13"/>
      <c r="F206" s="13"/>
    </row>
    <row r="207" spans="1:6" s="7" customFormat="1" ht="45.75" hidden="1" customHeight="1" x14ac:dyDescent="0.25">
      <c r="A207" s="255" t="s">
        <v>276</v>
      </c>
      <c r="B207" s="17" t="s">
        <v>430</v>
      </c>
      <c r="C207" s="4" t="s">
        <v>277</v>
      </c>
      <c r="D207" s="11"/>
      <c r="E207" s="13"/>
      <c r="F207" s="13"/>
    </row>
    <row r="208" spans="1:6" s="7" customFormat="1" ht="31.15" customHeight="1" x14ac:dyDescent="0.25">
      <c r="A208" s="255" t="s">
        <v>397</v>
      </c>
      <c r="B208" s="17" t="s">
        <v>117</v>
      </c>
      <c r="C208" s="4" t="s">
        <v>387</v>
      </c>
      <c r="D208" s="11">
        <f>'2  '!D70</f>
        <v>15000</v>
      </c>
      <c r="E208" s="13">
        <f>'2  '!E70</f>
        <v>0</v>
      </c>
      <c r="F208" s="13">
        <f>'2  '!F70</f>
        <v>0</v>
      </c>
    </row>
    <row r="209" spans="1:6" s="7" customFormat="1" ht="43.15" customHeight="1" x14ac:dyDescent="0.25">
      <c r="A209" s="255" t="s">
        <v>398</v>
      </c>
      <c r="B209" s="17" t="s">
        <v>117</v>
      </c>
      <c r="C209" s="4" t="s">
        <v>396</v>
      </c>
      <c r="D209" s="11">
        <f>121.21212+80.80808-50.50505</f>
        <v>151.51515000000001</v>
      </c>
      <c r="E209" s="13">
        <v>0</v>
      </c>
      <c r="F209" s="13">
        <v>0</v>
      </c>
    </row>
    <row r="210" spans="1:6" s="7" customFormat="1" ht="45.75" customHeight="1" x14ac:dyDescent="0.25">
      <c r="A210" s="339" t="s">
        <v>484</v>
      </c>
      <c r="B210" s="75" t="s">
        <v>222</v>
      </c>
      <c r="C210" s="75" t="s">
        <v>284</v>
      </c>
      <c r="D210" s="76">
        <f>SUM(D211:D215)</f>
        <v>1347.6670000000001</v>
      </c>
      <c r="E210" s="76">
        <f>SUM(E211:E214)</f>
        <v>590</v>
      </c>
      <c r="F210" s="76">
        <f>SUM(F211:F214)</f>
        <v>590</v>
      </c>
    </row>
    <row r="211" spans="1:6" s="7" customFormat="1" ht="17.649999999999999" customHeight="1" x14ac:dyDescent="0.25">
      <c r="A211" s="255" t="s">
        <v>445</v>
      </c>
      <c r="B211" s="17" t="s">
        <v>225</v>
      </c>
      <c r="C211" s="4" t="s">
        <v>285</v>
      </c>
      <c r="D211" s="11">
        <f>100+140+300+61.2+95.125+32.094</f>
        <v>728.4190000000001</v>
      </c>
      <c r="E211" s="11">
        <v>550</v>
      </c>
      <c r="F211" s="11">
        <f>270+80+200</f>
        <v>550</v>
      </c>
    </row>
    <row r="212" spans="1:6" s="7" customFormat="1" ht="32.25" customHeight="1" x14ac:dyDescent="0.25">
      <c r="A212" s="255" t="s">
        <v>444</v>
      </c>
      <c r="B212" s="17" t="s">
        <v>117</v>
      </c>
      <c r="C212" s="4" t="s">
        <v>365</v>
      </c>
      <c r="D212" s="11">
        <f>10+303.533</f>
        <v>313.53300000000002</v>
      </c>
      <c r="E212" s="11">
        <v>20</v>
      </c>
      <c r="F212" s="11">
        <f>20</f>
        <v>20</v>
      </c>
    </row>
    <row r="213" spans="1:6" s="7" customFormat="1" ht="16.899999999999999" customHeight="1" x14ac:dyDescent="0.25">
      <c r="A213" s="255" t="s">
        <v>446</v>
      </c>
      <c r="B213" s="17" t="s">
        <v>117</v>
      </c>
      <c r="C213" s="4" t="s">
        <v>443</v>
      </c>
      <c r="D213" s="11">
        <f>270+10+15.715</f>
        <v>295.71499999999997</v>
      </c>
      <c r="E213" s="11">
        <v>20</v>
      </c>
      <c r="F213" s="11">
        <f>20</f>
        <v>20</v>
      </c>
    </row>
    <row r="214" spans="1:6" s="7" customFormat="1" ht="16.899999999999999" customHeight="1" x14ac:dyDescent="0.25">
      <c r="A214" s="255" t="s">
        <v>453</v>
      </c>
      <c r="B214" s="17" t="s">
        <v>225</v>
      </c>
      <c r="C214" s="4" t="s">
        <v>454</v>
      </c>
      <c r="D214" s="11">
        <v>10</v>
      </c>
      <c r="E214" s="11">
        <v>0</v>
      </c>
      <c r="F214" s="11">
        <v>0</v>
      </c>
    </row>
    <row r="215" spans="1:6" s="7" customFormat="1" ht="29.45" hidden="1" customHeight="1" x14ac:dyDescent="0.25">
      <c r="A215" s="254" t="s">
        <v>628</v>
      </c>
      <c r="B215" s="3" t="s">
        <v>117</v>
      </c>
      <c r="C215" s="4" t="s">
        <v>627</v>
      </c>
      <c r="D215" s="11"/>
      <c r="E215" s="11">
        <v>0</v>
      </c>
      <c r="F215" s="11">
        <v>0</v>
      </c>
    </row>
    <row r="216" spans="1:6" s="7" customFormat="1" ht="45.75" customHeight="1" x14ac:dyDescent="0.25">
      <c r="A216" s="339" t="s">
        <v>485</v>
      </c>
      <c r="B216" s="75" t="s">
        <v>222</v>
      </c>
      <c r="C216" s="75" t="s">
        <v>286</v>
      </c>
      <c r="D216" s="76">
        <f>SUM(D217:D223)</f>
        <v>22888.52015</v>
      </c>
      <c r="E216" s="76">
        <f>SUM(E217:E223)</f>
        <v>0</v>
      </c>
      <c r="F216" s="76">
        <f>SUM(F217:F223)</f>
        <v>0</v>
      </c>
    </row>
    <row r="217" spans="1:6" s="7" customFormat="1" ht="33" hidden="1" customHeight="1" x14ac:dyDescent="0.25">
      <c r="A217" s="255" t="s">
        <v>290</v>
      </c>
      <c r="B217" s="17" t="s">
        <v>431</v>
      </c>
      <c r="C217" s="4" t="s">
        <v>283</v>
      </c>
      <c r="D217" s="11">
        <v>0</v>
      </c>
      <c r="E217" s="13">
        <v>0</v>
      </c>
      <c r="F217" s="13">
        <v>0</v>
      </c>
    </row>
    <row r="218" spans="1:6" s="7" customFormat="1" ht="15.6" customHeight="1" x14ac:dyDescent="0.25">
      <c r="A218" s="255" t="s">
        <v>130</v>
      </c>
      <c r="B218" s="17" t="s">
        <v>117</v>
      </c>
      <c r="C218" s="4" t="s">
        <v>282</v>
      </c>
      <c r="D218" s="11">
        <f>110-100</f>
        <v>10</v>
      </c>
      <c r="E218" s="13">
        <v>0</v>
      </c>
      <c r="F218" s="13">
        <v>0</v>
      </c>
    </row>
    <row r="219" spans="1:6" s="7" customFormat="1" ht="58.15" customHeight="1" x14ac:dyDescent="0.25">
      <c r="A219" s="255" t="s">
        <v>291</v>
      </c>
      <c r="B219" s="17" t="s">
        <v>226</v>
      </c>
      <c r="C219" s="4" t="s">
        <v>279</v>
      </c>
      <c r="D219" s="11">
        <f>'2  '!D82</f>
        <v>11041.041999999999</v>
      </c>
      <c r="E219" s="13">
        <v>0</v>
      </c>
      <c r="F219" s="13">
        <v>0</v>
      </c>
    </row>
    <row r="220" spans="1:6" s="7" customFormat="1" ht="31.5" customHeight="1" x14ac:dyDescent="0.25">
      <c r="A220" s="255" t="s">
        <v>185</v>
      </c>
      <c r="B220" s="17" t="s">
        <v>226</v>
      </c>
      <c r="C220" s="4" t="s">
        <v>280</v>
      </c>
      <c r="D220" s="11">
        <v>7883.3519999999999</v>
      </c>
      <c r="E220" s="13">
        <v>0</v>
      </c>
      <c r="F220" s="13">
        <v>0</v>
      </c>
    </row>
    <row r="221" spans="1:6" s="7" customFormat="1" ht="29.65" customHeight="1" x14ac:dyDescent="0.25">
      <c r="A221" s="255" t="s">
        <v>605</v>
      </c>
      <c r="B221" s="17" t="s">
        <v>226</v>
      </c>
      <c r="C221" s="4" t="s">
        <v>281</v>
      </c>
      <c r="D221" s="11">
        <f>820+200+80+2482.83154</f>
        <v>3582.8315400000001</v>
      </c>
      <c r="E221" s="13">
        <v>0</v>
      </c>
      <c r="F221" s="13">
        <v>0</v>
      </c>
    </row>
    <row r="222" spans="1:6" s="7" customFormat="1" ht="43.15" hidden="1" customHeight="1" x14ac:dyDescent="0.25">
      <c r="A222" s="255" t="s">
        <v>605</v>
      </c>
      <c r="B222" s="17" t="s">
        <v>226</v>
      </c>
      <c r="C222" s="4" t="s">
        <v>281</v>
      </c>
      <c r="D222" s="11"/>
      <c r="E222" s="13"/>
      <c r="F222" s="13"/>
    </row>
    <row r="223" spans="1:6" s="7" customFormat="1" ht="30" customHeight="1" x14ac:dyDescent="0.25">
      <c r="A223" s="254" t="s">
        <v>606</v>
      </c>
      <c r="B223" s="3" t="s">
        <v>226</v>
      </c>
      <c r="C223" s="4" t="s">
        <v>281</v>
      </c>
      <c r="D223" s="11">
        <f>900-500-28.70539</f>
        <v>371.29460999999998</v>
      </c>
      <c r="E223" s="11">
        <v>0</v>
      </c>
      <c r="F223" s="11">
        <v>0</v>
      </c>
    </row>
    <row r="224" spans="1:6" s="7" customFormat="1" ht="33.75" customHeight="1" x14ac:dyDescent="0.25">
      <c r="A224" s="339" t="s">
        <v>577</v>
      </c>
      <c r="B224" s="75" t="s">
        <v>222</v>
      </c>
      <c r="C224" s="77" t="s">
        <v>308</v>
      </c>
      <c r="D224" s="76">
        <f>D225</f>
        <v>20</v>
      </c>
      <c r="E224" s="76">
        <f t="shared" ref="D224:F225" si="13">E225</f>
        <v>20</v>
      </c>
      <c r="F224" s="76">
        <f t="shared" si="13"/>
        <v>0</v>
      </c>
    </row>
    <row r="225" spans="1:7" s="7" customFormat="1" ht="28.9" customHeight="1" x14ac:dyDescent="0.25">
      <c r="A225" s="255" t="s">
        <v>309</v>
      </c>
      <c r="B225" s="17" t="s">
        <v>117</v>
      </c>
      <c r="C225" s="4" t="s">
        <v>310</v>
      </c>
      <c r="D225" s="11">
        <f t="shared" si="13"/>
        <v>20</v>
      </c>
      <c r="E225" s="13">
        <f t="shared" si="13"/>
        <v>20</v>
      </c>
      <c r="F225" s="13">
        <f t="shared" si="13"/>
        <v>0</v>
      </c>
    </row>
    <row r="226" spans="1:7" s="7" customFormat="1" ht="16.5" customHeight="1" x14ac:dyDescent="0.25">
      <c r="A226" s="255" t="s">
        <v>338</v>
      </c>
      <c r="B226" s="17" t="s">
        <v>117</v>
      </c>
      <c r="C226" s="4" t="s">
        <v>311</v>
      </c>
      <c r="D226" s="11">
        <v>20</v>
      </c>
      <c r="E226" s="11">
        <v>20</v>
      </c>
      <c r="F226" s="11">
        <v>0</v>
      </c>
    </row>
    <row r="227" spans="1:7" s="7" customFormat="1" ht="44.25" customHeight="1" x14ac:dyDescent="0.25">
      <c r="A227" s="339" t="s">
        <v>473</v>
      </c>
      <c r="B227" s="75" t="s">
        <v>222</v>
      </c>
      <c r="C227" s="75" t="s">
        <v>316</v>
      </c>
      <c r="D227" s="76">
        <f>D228+D229</f>
        <v>1047.0907474747476</v>
      </c>
      <c r="E227" s="76">
        <f t="shared" ref="E227:F227" si="14">E228+E229</f>
        <v>0</v>
      </c>
      <c r="F227" s="76">
        <f t="shared" si="14"/>
        <v>0</v>
      </c>
    </row>
    <row r="228" spans="1:7" s="7" customFormat="1" ht="49.5" customHeight="1" x14ac:dyDescent="0.25">
      <c r="A228" s="255" t="s">
        <v>347</v>
      </c>
      <c r="B228" s="17" t="s">
        <v>117</v>
      </c>
      <c r="C228" s="4" t="s">
        <v>317</v>
      </c>
      <c r="D228" s="11">
        <f>'2  '!D69</f>
        <v>1036.6198400000001</v>
      </c>
      <c r="E228" s="11">
        <f>'2  '!E69</f>
        <v>0</v>
      </c>
      <c r="F228" s="11">
        <f>'2  '!F69</f>
        <v>0</v>
      </c>
    </row>
    <row r="229" spans="1:7" s="7" customFormat="1" ht="51" customHeight="1" x14ac:dyDescent="0.25">
      <c r="A229" s="255" t="s">
        <v>348</v>
      </c>
      <c r="B229" s="17" t="s">
        <v>117</v>
      </c>
      <c r="C229" s="4" t="s">
        <v>563</v>
      </c>
      <c r="D229" s="11">
        <f>D228/99</f>
        <v>10.470907474747476</v>
      </c>
      <c r="E229" s="11">
        <f>E228/99</f>
        <v>0</v>
      </c>
      <c r="F229" s="11">
        <f>F228/99</f>
        <v>0</v>
      </c>
    </row>
    <row r="230" spans="1:7" s="7" customFormat="1" ht="51" customHeight="1" x14ac:dyDescent="0.25">
      <c r="A230" s="339" t="s">
        <v>1120</v>
      </c>
      <c r="B230" s="75" t="s">
        <v>222</v>
      </c>
      <c r="C230" s="75" t="s">
        <v>316</v>
      </c>
      <c r="D230" s="76">
        <f>D231+D232</f>
        <v>0</v>
      </c>
      <c r="E230" s="76">
        <f t="shared" ref="E230:F230" si="15">E231+E232</f>
        <v>60.606059999999999</v>
      </c>
      <c r="F230" s="76">
        <f t="shared" si="15"/>
        <v>60.606059999999999</v>
      </c>
    </row>
    <row r="231" spans="1:7" s="7" customFormat="1" ht="51" customHeight="1" x14ac:dyDescent="0.25">
      <c r="A231" s="255" t="s">
        <v>347</v>
      </c>
      <c r="B231" s="86" t="s">
        <v>117</v>
      </c>
      <c r="C231" s="4" t="s">
        <v>317</v>
      </c>
      <c r="D231" s="12">
        <v>0</v>
      </c>
      <c r="E231" s="13">
        <f>'2  '!E69</f>
        <v>0</v>
      </c>
      <c r="F231" s="13">
        <f>'2  '!F69</f>
        <v>0</v>
      </c>
    </row>
    <row r="232" spans="1:7" s="7" customFormat="1" ht="51" customHeight="1" x14ac:dyDescent="0.25">
      <c r="A232" s="255" t="s">
        <v>348</v>
      </c>
      <c r="B232" s="17" t="s">
        <v>117</v>
      </c>
      <c r="C232" s="4" t="s">
        <v>563</v>
      </c>
      <c r="D232" s="11">
        <v>0</v>
      </c>
      <c r="E232" s="11">
        <v>60.606059999999999</v>
      </c>
      <c r="F232" s="11">
        <v>60.606059999999999</v>
      </c>
    </row>
    <row r="233" spans="1:7" s="7" customFormat="1" ht="73.900000000000006" customHeight="1" x14ac:dyDescent="0.25">
      <c r="A233" s="339" t="s">
        <v>440</v>
      </c>
      <c r="B233" s="75" t="s">
        <v>222</v>
      </c>
      <c r="C233" s="75" t="s">
        <v>416</v>
      </c>
      <c r="D233" s="76">
        <f>SUM(D234:D238)</f>
        <v>24931.352129999999</v>
      </c>
      <c r="E233" s="76">
        <f>SUM(E234:E238)</f>
        <v>38371.855009999999</v>
      </c>
      <c r="F233" s="76">
        <f>SUM(F234:F238)</f>
        <v>0</v>
      </c>
    </row>
    <row r="234" spans="1:7" s="7" customFormat="1" ht="31.9" customHeight="1" x14ac:dyDescent="0.25">
      <c r="A234" s="255" t="s">
        <v>418</v>
      </c>
      <c r="B234" s="17" t="s">
        <v>117</v>
      </c>
      <c r="C234" s="4" t="s">
        <v>420</v>
      </c>
      <c r="D234" s="11">
        <f>'2  '!D86</f>
        <v>11502.968130000001</v>
      </c>
      <c r="E234" s="13">
        <f>'2  '!E86</f>
        <v>15787.855009999999</v>
      </c>
      <c r="F234" s="13">
        <f>'2  '!F86-16369.45488</f>
        <v>0</v>
      </c>
    </row>
    <row r="235" spans="1:7" s="7" customFormat="1" ht="33" hidden="1" customHeight="1" x14ac:dyDescent="0.25">
      <c r="A235" s="255" t="s">
        <v>419</v>
      </c>
      <c r="B235" s="17" t="s">
        <v>117</v>
      </c>
      <c r="C235" s="4" t="s">
        <v>421</v>
      </c>
      <c r="D235" s="11"/>
      <c r="E235" s="13"/>
      <c r="F235" s="13"/>
    </row>
    <row r="236" spans="1:7" s="7" customFormat="1" ht="44.65" customHeight="1" x14ac:dyDescent="0.25">
      <c r="A236" s="255" t="s">
        <v>483</v>
      </c>
      <c r="B236" s="17" t="s">
        <v>117</v>
      </c>
      <c r="C236" s="4" t="s">
        <v>1046</v>
      </c>
      <c r="D236" s="11">
        <f>15761.80812-1489.302-722.10612-122.016</f>
        <v>13428.384</v>
      </c>
      <c r="E236" s="11">
        <f>9816.49088-782.89088</f>
        <v>9033.5999999999985</v>
      </c>
      <c r="F236" s="11">
        <f>9816.49087-782.89087-9033.6</f>
        <v>0</v>
      </c>
      <c r="G236" s="45"/>
    </row>
    <row r="237" spans="1:7" s="7" customFormat="1" ht="44.65" hidden="1" customHeight="1" x14ac:dyDescent="0.25">
      <c r="A237" s="255" t="s">
        <v>1043</v>
      </c>
      <c r="B237" s="17" t="s">
        <v>117</v>
      </c>
      <c r="C237" s="4" t="s">
        <v>1046</v>
      </c>
      <c r="D237" s="11">
        <f>1489.302-1489.302</f>
        <v>0</v>
      </c>
      <c r="E237" s="11">
        <v>0</v>
      </c>
      <c r="F237" s="11">
        <v>0</v>
      </c>
      <c r="G237" s="45"/>
    </row>
    <row r="238" spans="1:7" s="7" customFormat="1" ht="44.65" customHeight="1" x14ac:dyDescent="0.25">
      <c r="A238" s="255" t="s">
        <v>417</v>
      </c>
      <c r="B238" s="17" t="s">
        <v>117</v>
      </c>
      <c r="C238" s="4" t="s">
        <v>482</v>
      </c>
      <c r="D238" s="11">
        <f>'2  '!D89</f>
        <v>0</v>
      </c>
      <c r="E238" s="11">
        <f>'2  '!E89</f>
        <v>13550.4</v>
      </c>
      <c r="F238" s="11">
        <f>'2  '!F89-13550.4</f>
        <v>0</v>
      </c>
      <c r="G238" s="45"/>
    </row>
    <row r="239" spans="1:7" s="7" customFormat="1" ht="33" customHeight="1" x14ac:dyDescent="0.25">
      <c r="A239" s="339" t="s">
        <v>524</v>
      </c>
      <c r="B239" s="75" t="s">
        <v>222</v>
      </c>
      <c r="C239" s="79">
        <v>1600000000</v>
      </c>
      <c r="D239" s="76">
        <f>D240</f>
        <v>40</v>
      </c>
      <c r="E239" s="76">
        <f>E240</f>
        <v>0</v>
      </c>
      <c r="F239" s="76">
        <f>F240</f>
        <v>0</v>
      </c>
    </row>
    <row r="240" spans="1:7" s="7" customFormat="1" ht="16.149999999999999" customHeight="1" x14ac:dyDescent="0.25">
      <c r="A240" s="255" t="s">
        <v>477</v>
      </c>
      <c r="B240" s="17" t="s">
        <v>117</v>
      </c>
      <c r="C240" s="4" t="s">
        <v>491</v>
      </c>
      <c r="D240" s="11">
        <v>40</v>
      </c>
      <c r="E240" s="11">
        <v>0</v>
      </c>
      <c r="F240" s="11">
        <v>0</v>
      </c>
    </row>
    <row r="241" spans="1:6" s="7" customFormat="1" ht="44.65" hidden="1" customHeight="1" x14ac:dyDescent="0.25">
      <c r="A241" s="255"/>
      <c r="B241" s="17"/>
      <c r="C241" s="4"/>
      <c r="D241" s="11"/>
      <c r="E241" s="13"/>
      <c r="F241" s="13"/>
    </row>
    <row r="242" spans="1:6" s="7" customFormat="1" ht="44.65" customHeight="1" x14ac:dyDescent="0.25">
      <c r="A242" s="339" t="s">
        <v>591</v>
      </c>
      <c r="B242" s="75" t="s">
        <v>222</v>
      </c>
      <c r="C242" s="79">
        <v>1700000000</v>
      </c>
      <c r="D242" s="76">
        <f>D243</f>
        <v>15</v>
      </c>
      <c r="E242" s="76">
        <f>E243</f>
        <v>0</v>
      </c>
      <c r="F242" s="76">
        <f>F243</f>
        <v>0</v>
      </c>
    </row>
    <row r="243" spans="1:6" s="7" customFormat="1" ht="33.6" customHeight="1" x14ac:dyDescent="0.25">
      <c r="A243" s="254" t="s">
        <v>592</v>
      </c>
      <c r="B243" s="3" t="s">
        <v>117</v>
      </c>
      <c r="C243" s="4" t="s">
        <v>593</v>
      </c>
      <c r="D243" s="11">
        <v>15</v>
      </c>
      <c r="E243" s="11">
        <v>0</v>
      </c>
      <c r="F243" s="11">
        <v>0</v>
      </c>
    </row>
    <row r="244" spans="1:6" s="7" customFormat="1" ht="33.6" customHeight="1" x14ac:dyDescent="0.25">
      <c r="A244" s="339" t="s">
        <v>630</v>
      </c>
      <c r="B244" s="75" t="s">
        <v>117</v>
      </c>
      <c r="C244" s="77" t="s">
        <v>631</v>
      </c>
      <c r="D244" s="76">
        <f>D246+D245</f>
        <v>1911.2709</v>
      </c>
      <c r="E244" s="76">
        <f>E246+E245</f>
        <v>3590.68487</v>
      </c>
      <c r="F244" s="76">
        <f>F246+F245</f>
        <v>3691.67353</v>
      </c>
    </row>
    <row r="245" spans="1:6" s="7" customFormat="1" ht="33.6" hidden="1" customHeight="1" x14ac:dyDescent="0.25">
      <c r="A245" s="343" t="s">
        <v>1002</v>
      </c>
      <c r="B245" s="3" t="s">
        <v>117</v>
      </c>
      <c r="C245" s="4" t="s">
        <v>657</v>
      </c>
      <c r="D245" s="11">
        <f>'2  '!D52-911.2709</f>
        <v>0</v>
      </c>
      <c r="E245" s="11">
        <v>0</v>
      </c>
      <c r="F245" s="11">
        <v>0</v>
      </c>
    </row>
    <row r="246" spans="1:6" s="7" customFormat="1" ht="46.9" customHeight="1" x14ac:dyDescent="0.25">
      <c r="A246" s="344" t="s">
        <v>1010</v>
      </c>
      <c r="B246" s="3" t="s">
        <v>117</v>
      </c>
      <c r="C246" s="4" t="s">
        <v>632</v>
      </c>
      <c r="D246" s="11">
        <f>277.08368+722.91632+911.2709</f>
        <v>1911.2709</v>
      </c>
      <c r="E246" s="11">
        <f>775+2815.68487</f>
        <v>3590.68487</v>
      </c>
      <c r="F246" s="11">
        <f>715+2976.67353</f>
        <v>3691.67353</v>
      </c>
    </row>
    <row r="247" spans="1:6" s="7" customFormat="1" ht="63.6" customHeight="1" x14ac:dyDescent="0.25">
      <c r="A247" s="339" t="s">
        <v>1054</v>
      </c>
      <c r="B247" s="75" t="s">
        <v>117</v>
      </c>
      <c r="C247" s="77" t="s">
        <v>1006</v>
      </c>
      <c r="D247" s="76">
        <f>D249+D248+D250</f>
        <v>6046.8764900000006</v>
      </c>
      <c r="E247" s="76">
        <f t="shared" ref="E247:F247" si="16">E249+E248+E250</f>
        <v>2003.38708</v>
      </c>
      <c r="F247" s="76">
        <f t="shared" si="16"/>
        <v>2003.38708</v>
      </c>
    </row>
    <row r="248" spans="1:6" s="7" customFormat="1" ht="49.5" customHeight="1" x14ac:dyDescent="0.25">
      <c r="A248" s="254" t="s">
        <v>1126</v>
      </c>
      <c r="B248" s="3" t="s">
        <v>117</v>
      </c>
      <c r="C248" s="3" t="s">
        <v>1007</v>
      </c>
      <c r="D248" s="57">
        <f>'2  '!D64</f>
        <v>4834.7915300000004</v>
      </c>
      <c r="E248" s="57">
        <f>'2  '!E64</f>
        <v>0</v>
      </c>
      <c r="F248" s="57">
        <f>'2  '!F64</f>
        <v>0</v>
      </c>
    </row>
    <row r="249" spans="1:6" s="7" customFormat="1" ht="66.75" customHeight="1" x14ac:dyDescent="0.25">
      <c r="A249" s="254" t="s">
        <v>1008</v>
      </c>
      <c r="B249" s="3" t="s">
        <v>117</v>
      </c>
      <c r="C249" s="3" t="s">
        <v>1009</v>
      </c>
      <c r="D249" s="57">
        <f>1819.28985-610.59197</f>
        <v>1208.6978799999999</v>
      </c>
      <c r="E249" s="13">
        <v>2000</v>
      </c>
      <c r="F249" s="13">
        <v>2000</v>
      </c>
    </row>
    <row r="250" spans="1:6" s="7" customFormat="1" ht="75" customHeight="1" x14ac:dyDescent="0.25">
      <c r="A250" s="254" t="s">
        <v>762</v>
      </c>
      <c r="B250" s="3" t="s">
        <v>117</v>
      </c>
      <c r="C250" s="3" t="s">
        <v>1011</v>
      </c>
      <c r="D250" s="57">
        <f>'2  '!D87</f>
        <v>3.3870800000000001</v>
      </c>
      <c r="E250" s="57">
        <f>'2  '!E87</f>
        <v>3.3870800000000001</v>
      </c>
      <c r="F250" s="57">
        <f>'2  '!F87</f>
        <v>3.3870800000000001</v>
      </c>
    </row>
    <row r="251" spans="1:6" s="175" customFormat="1" ht="46.5" customHeight="1" x14ac:dyDescent="0.25">
      <c r="A251" s="339" t="s">
        <v>1014</v>
      </c>
      <c r="B251" s="208" t="s">
        <v>117</v>
      </c>
      <c r="C251" s="209" t="s">
        <v>1015</v>
      </c>
      <c r="D251" s="210">
        <f>D254+D255+D252+D253+D256</f>
        <v>65955.029899999994</v>
      </c>
      <c r="E251" s="210">
        <f t="shared" ref="E251:F251" si="17">E254+E255</f>
        <v>0</v>
      </c>
      <c r="F251" s="210">
        <f t="shared" si="17"/>
        <v>0</v>
      </c>
    </row>
    <row r="252" spans="1:6" s="175" customFormat="1" ht="79.150000000000006" customHeight="1" x14ac:dyDescent="0.25">
      <c r="A252" s="254" t="s">
        <v>1081</v>
      </c>
      <c r="B252" s="3" t="s">
        <v>117</v>
      </c>
      <c r="C252" s="4" t="s">
        <v>1036</v>
      </c>
      <c r="D252" s="57">
        <f>'2  '!D59</f>
        <v>59948.979599999999</v>
      </c>
      <c r="E252" s="57">
        <f>'2  '!E51</f>
        <v>0</v>
      </c>
      <c r="F252" s="57">
        <f>'2  '!F51</f>
        <v>0</v>
      </c>
    </row>
    <row r="253" spans="1:6" s="175" customFormat="1" ht="83.25" customHeight="1" x14ac:dyDescent="0.25">
      <c r="A253" s="254" t="s">
        <v>1082</v>
      </c>
      <c r="B253" s="3" t="s">
        <v>117</v>
      </c>
      <c r="C253" s="4" t="s">
        <v>1036</v>
      </c>
      <c r="D253" s="57">
        <f>463.82189+141.72336</f>
        <v>605.54525000000001</v>
      </c>
      <c r="E253" s="57">
        <v>0</v>
      </c>
      <c r="F253" s="57">
        <v>0</v>
      </c>
    </row>
    <row r="254" spans="1:6" s="7" customFormat="1" ht="34.9" customHeight="1" x14ac:dyDescent="0.25">
      <c r="A254" s="254" t="s">
        <v>1071</v>
      </c>
      <c r="B254" s="98">
        <v>951</v>
      </c>
      <c r="C254" s="3" t="s">
        <v>1013</v>
      </c>
      <c r="D254" s="57">
        <f>'2  '!D63</f>
        <v>5000</v>
      </c>
      <c r="E254" s="57">
        <f>'2  '!E118</f>
        <v>0</v>
      </c>
      <c r="F254" s="57">
        <f>'2  '!F118</f>
        <v>0</v>
      </c>
    </row>
    <row r="255" spans="1:6" s="7" customFormat="1" ht="65.25" customHeight="1" x14ac:dyDescent="0.25">
      <c r="A255" s="254" t="s">
        <v>1077</v>
      </c>
      <c r="B255" s="98">
        <v>951</v>
      </c>
      <c r="C255" s="3" t="s">
        <v>1019</v>
      </c>
      <c r="D255" s="57">
        <v>50.505049999999997</v>
      </c>
      <c r="E255" s="57">
        <v>0</v>
      </c>
      <c r="F255" s="57">
        <v>0</v>
      </c>
    </row>
    <row r="256" spans="1:6" s="7" customFormat="1" ht="36.75" customHeight="1" x14ac:dyDescent="0.25">
      <c r="A256" s="254" t="s">
        <v>1088</v>
      </c>
      <c r="B256" s="98">
        <v>951</v>
      </c>
      <c r="C256" s="3" t="s">
        <v>1087</v>
      </c>
      <c r="D256" s="57">
        <f>10+15+125+200</f>
        <v>350</v>
      </c>
      <c r="E256" s="57">
        <v>0</v>
      </c>
      <c r="F256" s="57">
        <v>0</v>
      </c>
    </row>
    <row r="257" spans="1:6" s="7" customFormat="1" ht="50.25" customHeight="1" x14ac:dyDescent="0.25">
      <c r="A257" s="345" t="s">
        <v>1121</v>
      </c>
      <c r="B257" s="244">
        <v>951</v>
      </c>
      <c r="C257" s="245" t="s">
        <v>1100</v>
      </c>
      <c r="D257" s="246">
        <f>D258</f>
        <v>75</v>
      </c>
      <c r="E257" s="246">
        <f>E258</f>
        <v>0</v>
      </c>
      <c r="F257" s="246">
        <f>F258</f>
        <v>0</v>
      </c>
    </row>
    <row r="258" spans="1:6" s="7" customFormat="1" ht="36.75" customHeight="1" x14ac:dyDescent="0.25">
      <c r="A258" s="255" t="s">
        <v>1098</v>
      </c>
      <c r="B258" s="17" t="s">
        <v>117</v>
      </c>
      <c r="C258" s="3" t="s">
        <v>1128</v>
      </c>
      <c r="D258" s="57">
        <f>'2  '!D57</f>
        <v>75</v>
      </c>
      <c r="E258" s="57">
        <v>0</v>
      </c>
      <c r="F258" s="57">
        <v>0</v>
      </c>
    </row>
    <row r="259" spans="1:6" s="47" customFormat="1" ht="18" customHeight="1" x14ac:dyDescent="0.2">
      <c r="A259" s="311" t="s">
        <v>79</v>
      </c>
      <c r="B259" s="80"/>
      <c r="C259" s="81"/>
      <c r="D259" s="82">
        <f>D188+D146+D144+D122+D115+D112+D108+D12+D197+D202+D210+D216+D224+D227+D233+D239+D242+D244+D247+D251+D257</f>
        <v>903091.08767747483</v>
      </c>
      <c r="E259" s="82">
        <f>E188+E146+E144+E122+E115+E112+E108+E12+E197+E202+E210+E216+E224+E227+E233+E239+E242+E244+E247</f>
        <v>643169.54563000007</v>
      </c>
      <c r="F259" s="82">
        <f>F188+F146+F144+F122+F115+F112+F108+F12+F197+F202+F210+F216+F224+F227+F233+F239+F242+F244+F247</f>
        <v>608714.94944999996</v>
      </c>
    </row>
    <row r="260" spans="1:6" ht="18" customHeight="1" x14ac:dyDescent="0.2">
      <c r="A260" s="449" t="s">
        <v>206</v>
      </c>
      <c r="B260" s="450"/>
      <c r="C260" s="450"/>
      <c r="D260" s="450"/>
      <c r="E260" s="451"/>
      <c r="F260" s="451"/>
    </row>
    <row r="261" spans="1:6" ht="30" hidden="1" customHeight="1" x14ac:dyDescent="0.2">
      <c r="A261" s="255" t="s">
        <v>110</v>
      </c>
      <c r="B261" s="49"/>
      <c r="C261" s="196" t="s">
        <v>5</v>
      </c>
      <c r="D261" s="230"/>
      <c r="E261" s="51"/>
      <c r="F261" s="51"/>
    </row>
    <row r="262" spans="1:6" hidden="1" x14ac:dyDescent="0.2">
      <c r="A262" s="255" t="s">
        <v>80</v>
      </c>
      <c r="B262" s="49"/>
      <c r="C262" s="196" t="s">
        <v>6</v>
      </c>
      <c r="D262" s="230"/>
      <c r="E262" s="51"/>
      <c r="F262" s="51"/>
    </row>
    <row r="263" spans="1:6" x14ac:dyDescent="0.2">
      <c r="A263" s="255" t="s">
        <v>227</v>
      </c>
      <c r="B263" s="17" t="s">
        <v>117</v>
      </c>
      <c r="C263" s="3" t="s">
        <v>7</v>
      </c>
      <c r="D263" s="57">
        <f>3257.7+143.47595</f>
        <v>3401.1759499999998</v>
      </c>
      <c r="E263" s="57">
        <v>3257.7</v>
      </c>
      <c r="F263" s="57">
        <v>3257.7</v>
      </c>
    </row>
    <row r="264" spans="1:6" ht="16.899999999999999" customHeight="1" x14ac:dyDescent="0.2">
      <c r="A264" s="255" t="s">
        <v>96</v>
      </c>
      <c r="B264" s="17" t="s">
        <v>223</v>
      </c>
      <c r="C264" s="3" t="s">
        <v>8</v>
      </c>
      <c r="D264" s="57">
        <f>3044.43+14-15+15</f>
        <v>3058.43</v>
      </c>
      <c r="E264" s="57">
        <v>3044.43</v>
      </c>
      <c r="F264" s="57">
        <v>3044.43</v>
      </c>
    </row>
    <row r="265" spans="1:6" ht="28.9" customHeight="1" x14ac:dyDescent="0.2">
      <c r="A265" s="255" t="s">
        <v>112</v>
      </c>
      <c r="B265" s="17"/>
      <c r="C265" s="3" t="s">
        <v>9</v>
      </c>
      <c r="D265" s="57">
        <f>344+3915.039+42495.9+7247.5+10645.2+273+145.989+1580.6-5+200.45-627.533+8.4+47.6+36.5+31.5-7-27.13132+41.33132+1586.52405+158-111-48-838</f>
        <v>67093.869050000008</v>
      </c>
      <c r="E265" s="57">
        <f t="shared" ref="E265:F265" si="18">344+3915.039+42495.9+7247.5+10645.2</f>
        <v>64647.638999999996</v>
      </c>
      <c r="F265" s="57">
        <f t="shared" si="18"/>
        <v>64647.638999999996</v>
      </c>
    </row>
    <row r="266" spans="1:6" ht="28.9" customHeight="1" x14ac:dyDescent="0.2">
      <c r="A266" s="306" t="s">
        <v>1020</v>
      </c>
      <c r="B266" s="201"/>
      <c r="C266" s="201" t="s">
        <v>1017</v>
      </c>
      <c r="D266" s="237">
        <f>20+13+55+50+5-7.2-30</f>
        <v>105.80000000000001</v>
      </c>
      <c r="E266" s="237">
        <f t="shared" ref="E266:F266" si="19">20+13+55</f>
        <v>88</v>
      </c>
      <c r="F266" s="237">
        <f t="shared" si="19"/>
        <v>88</v>
      </c>
    </row>
    <row r="267" spans="1:6" ht="16.5" customHeight="1" x14ac:dyDescent="0.2">
      <c r="A267" s="255" t="s">
        <v>97</v>
      </c>
      <c r="B267" s="17" t="s">
        <v>224</v>
      </c>
      <c r="C267" s="3" t="s">
        <v>10</v>
      </c>
      <c r="D267" s="57">
        <f>2603.635+156.5+145</f>
        <v>2905.1350000000002</v>
      </c>
      <c r="E267" s="57">
        <v>2603.6350000000002</v>
      </c>
      <c r="F267" s="57">
        <v>2603.6350000000002</v>
      </c>
    </row>
    <row r="268" spans="1:6" ht="15" customHeight="1" x14ac:dyDescent="0.2">
      <c r="A268" s="255" t="s">
        <v>98</v>
      </c>
      <c r="B268" s="17"/>
      <c r="C268" s="3" t="s">
        <v>12</v>
      </c>
      <c r="D268" s="57">
        <f>5511.1/1000</f>
        <v>5.5111000000000008</v>
      </c>
      <c r="E268" s="46">
        <v>0</v>
      </c>
      <c r="F268" s="46">
        <v>0</v>
      </c>
    </row>
    <row r="269" spans="1:6" ht="15" hidden="1" customHeight="1" x14ac:dyDescent="0.2">
      <c r="A269" s="254" t="s">
        <v>629</v>
      </c>
      <c r="B269" s="3" t="s">
        <v>226</v>
      </c>
      <c r="C269" s="3" t="s">
        <v>635</v>
      </c>
      <c r="D269" s="57">
        <v>0</v>
      </c>
      <c r="E269" s="57">
        <v>0</v>
      </c>
      <c r="F269" s="57">
        <v>0</v>
      </c>
    </row>
    <row r="270" spans="1:6" ht="16.5" customHeight="1" x14ac:dyDescent="0.2">
      <c r="A270" s="255" t="s">
        <v>99</v>
      </c>
      <c r="B270" s="17" t="s">
        <v>117</v>
      </c>
      <c r="C270" s="3" t="s">
        <v>13</v>
      </c>
      <c r="D270" s="57">
        <f>200+210+200+250</f>
        <v>860</v>
      </c>
      <c r="E270" s="57">
        <v>420.96</v>
      </c>
      <c r="F270" s="57">
        <v>420.96</v>
      </c>
    </row>
    <row r="271" spans="1:6" ht="28.15" customHeight="1" x14ac:dyDescent="0.2">
      <c r="A271" s="255" t="s">
        <v>209</v>
      </c>
      <c r="B271" s="17" t="s">
        <v>117</v>
      </c>
      <c r="C271" s="3" t="s">
        <v>14</v>
      </c>
      <c r="D271" s="57">
        <v>100</v>
      </c>
      <c r="E271" s="57">
        <v>100</v>
      </c>
      <c r="F271" s="57">
        <v>100</v>
      </c>
    </row>
    <row r="272" spans="1:6" ht="28.15" hidden="1" customHeight="1" x14ac:dyDescent="0.2">
      <c r="A272" s="255"/>
      <c r="B272" s="17"/>
      <c r="C272" s="3"/>
      <c r="D272" s="57"/>
      <c r="E272" s="57"/>
      <c r="F272" s="57"/>
    </row>
    <row r="273" spans="1:6" ht="28.15" hidden="1" customHeight="1" x14ac:dyDescent="0.2">
      <c r="A273" s="255"/>
      <c r="B273" s="17"/>
      <c r="C273" s="3"/>
      <c r="D273" s="57"/>
      <c r="E273" s="57"/>
      <c r="F273" s="57"/>
    </row>
    <row r="274" spans="1:6" ht="33.75" hidden="1" customHeight="1" x14ac:dyDescent="0.2">
      <c r="A274" s="254" t="s">
        <v>30</v>
      </c>
      <c r="B274" s="98">
        <v>951</v>
      </c>
      <c r="C274" s="3" t="s">
        <v>15</v>
      </c>
      <c r="D274" s="57">
        <v>0</v>
      </c>
      <c r="E274" s="205">
        <v>0</v>
      </c>
      <c r="F274" s="205">
        <v>0</v>
      </c>
    </row>
    <row r="275" spans="1:6" ht="17.25" hidden="1" customHeight="1" x14ac:dyDescent="0.2">
      <c r="A275" s="255" t="s">
        <v>210</v>
      </c>
      <c r="B275" s="84"/>
      <c r="C275" s="3" t="s">
        <v>16</v>
      </c>
      <c r="D275" s="57"/>
      <c r="E275" s="46"/>
      <c r="F275" s="46"/>
    </row>
    <row r="276" spans="1:6" ht="16.149999999999999" hidden="1" customHeight="1" x14ac:dyDescent="0.2">
      <c r="A276" s="255" t="s">
        <v>315</v>
      </c>
      <c r="B276" s="17" t="s">
        <v>117</v>
      </c>
      <c r="C276" s="3" t="s">
        <v>17</v>
      </c>
      <c r="D276" s="57">
        <v>0</v>
      </c>
      <c r="E276" s="46">
        <v>0</v>
      </c>
      <c r="F276" s="46">
        <v>0</v>
      </c>
    </row>
    <row r="277" spans="1:6" ht="15" customHeight="1" x14ac:dyDescent="0.2">
      <c r="A277" s="255" t="s">
        <v>212</v>
      </c>
      <c r="B277" s="17" t="s">
        <v>117</v>
      </c>
      <c r="C277" s="3" t="s">
        <v>18</v>
      </c>
      <c r="D277" s="57">
        <f>90</f>
        <v>90</v>
      </c>
      <c r="E277" s="46">
        <v>90</v>
      </c>
      <c r="F277" s="46">
        <v>90</v>
      </c>
    </row>
    <row r="278" spans="1:6" ht="59.25" hidden="1" customHeight="1" x14ac:dyDescent="0.2">
      <c r="A278" s="255" t="s">
        <v>644</v>
      </c>
      <c r="B278" s="17" t="s">
        <v>117</v>
      </c>
      <c r="C278" s="3" t="s">
        <v>659</v>
      </c>
      <c r="D278" s="57">
        <f>'2  '!D65</f>
        <v>0</v>
      </c>
      <c r="E278" s="46">
        <v>0</v>
      </c>
      <c r="F278" s="46">
        <v>0</v>
      </c>
    </row>
    <row r="279" spans="1:6" ht="60.75" hidden="1" customHeight="1" x14ac:dyDescent="0.2">
      <c r="A279" s="255" t="s">
        <v>1118</v>
      </c>
      <c r="B279" s="17" t="s">
        <v>117</v>
      </c>
      <c r="C279" s="3" t="s">
        <v>660</v>
      </c>
      <c r="D279" s="57">
        <f>3.43969+337.08981+55.3755-395.905</f>
        <v>0</v>
      </c>
      <c r="E279" s="46">
        <v>0</v>
      </c>
      <c r="F279" s="46">
        <v>0</v>
      </c>
    </row>
    <row r="280" spans="1:6" ht="15.75" customHeight="1" x14ac:dyDescent="0.2">
      <c r="A280" s="255" t="s">
        <v>213</v>
      </c>
      <c r="B280" s="17" t="s">
        <v>117</v>
      </c>
      <c r="C280" s="3" t="s">
        <v>19</v>
      </c>
      <c r="D280" s="57">
        <v>350</v>
      </c>
      <c r="E280" s="57">
        <v>350</v>
      </c>
      <c r="F280" s="57">
        <v>350</v>
      </c>
    </row>
    <row r="281" spans="1:6" ht="15.75" customHeight="1" x14ac:dyDescent="0.2">
      <c r="A281" s="255" t="s">
        <v>256</v>
      </c>
      <c r="B281" s="17" t="s">
        <v>117</v>
      </c>
      <c r="C281" s="3" t="s">
        <v>67</v>
      </c>
      <c r="D281" s="57">
        <f>1200+1275-125-18</f>
        <v>2332</v>
      </c>
      <c r="E281" s="57">
        <v>1200</v>
      </c>
      <c r="F281" s="57">
        <v>1200</v>
      </c>
    </row>
    <row r="282" spans="1:6" ht="15.75" hidden="1" customHeight="1" x14ac:dyDescent="0.2">
      <c r="A282" s="255" t="s">
        <v>123</v>
      </c>
      <c r="B282" s="17" t="s">
        <v>117</v>
      </c>
      <c r="C282" s="3" t="s">
        <v>73</v>
      </c>
      <c r="D282" s="57"/>
      <c r="E282" s="46"/>
      <c r="F282" s="46"/>
    </row>
    <row r="283" spans="1:6" ht="15.75" customHeight="1" x14ac:dyDescent="0.2">
      <c r="A283" s="254" t="s">
        <v>257</v>
      </c>
      <c r="B283" s="3" t="s">
        <v>117</v>
      </c>
      <c r="C283" s="3" t="s">
        <v>74</v>
      </c>
      <c r="D283" s="57">
        <v>1063.9000000000001</v>
      </c>
      <c r="E283" s="57">
        <v>1063.9000000000001</v>
      </c>
      <c r="F283" s="57">
        <v>1063.9000000000001</v>
      </c>
    </row>
    <row r="284" spans="1:6" ht="30" hidden="1" customHeight="1" x14ac:dyDescent="0.2">
      <c r="A284" s="254" t="s">
        <v>185</v>
      </c>
      <c r="B284" s="3" t="s">
        <v>117</v>
      </c>
      <c r="C284" s="3" t="s">
        <v>75</v>
      </c>
      <c r="D284" s="57"/>
      <c r="E284" s="57"/>
      <c r="F284" s="57"/>
    </row>
    <row r="285" spans="1:6" ht="17.25" hidden="1" customHeight="1" x14ac:dyDescent="0.2">
      <c r="A285" s="254" t="s">
        <v>247</v>
      </c>
      <c r="B285" s="3" t="s">
        <v>117</v>
      </c>
      <c r="C285" s="3" t="s">
        <v>76</v>
      </c>
      <c r="D285" s="57"/>
      <c r="E285" s="57"/>
      <c r="F285" s="57"/>
    </row>
    <row r="286" spans="1:6" ht="79.5" hidden="1" customHeight="1" x14ac:dyDescent="0.2">
      <c r="A286" s="254" t="s">
        <v>271</v>
      </c>
      <c r="B286" s="3" t="s">
        <v>117</v>
      </c>
      <c r="C286" s="3" t="s">
        <v>270</v>
      </c>
      <c r="D286" s="57"/>
      <c r="E286" s="57"/>
      <c r="F286" s="57"/>
    </row>
    <row r="287" spans="1:6" ht="17.25" hidden="1" customHeight="1" x14ac:dyDescent="0.2">
      <c r="A287" s="254" t="s">
        <v>266</v>
      </c>
      <c r="B287" s="3" t="s">
        <v>117</v>
      </c>
      <c r="C287" s="3" t="s">
        <v>267</v>
      </c>
      <c r="D287" s="57"/>
      <c r="E287" s="57"/>
      <c r="F287" s="57"/>
    </row>
    <row r="288" spans="1:6" ht="17.25" customHeight="1" x14ac:dyDescent="0.2">
      <c r="A288" s="254" t="s">
        <v>274</v>
      </c>
      <c r="B288" s="3" t="s">
        <v>117</v>
      </c>
      <c r="C288" s="3" t="s">
        <v>275</v>
      </c>
      <c r="D288" s="57">
        <f>2087.15+284.555+20.209+89.85881+70</f>
        <v>2551.7728099999999</v>
      </c>
      <c r="E288" s="57">
        <v>2087.15</v>
      </c>
      <c r="F288" s="57">
        <v>2087.15</v>
      </c>
    </row>
    <row r="289" spans="1:6" ht="63.75" hidden="1" customHeight="1" x14ac:dyDescent="0.2">
      <c r="A289" s="254" t="s">
        <v>197</v>
      </c>
      <c r="B289" s="3" t="s">
        <v>117</v>
      </c>
      <c r="C289" s="3" t="s">
        <v>262</v>
      </c>
      <c r="D289" s="57"/>
      <c r="E289" s="57"/>
      <c r="F289" s="57"/>
    </row>
    <row r="290" spans="1:6" ht="16.149999999999999" hidden="1" customHeight="1" x14ac:dyDescent="0.2">
      <c r="A290" s="254" t="s">
        <v>299</v>
      </c>
      <c r="B290" s="3" t="s">
        <v>117</v>
      </c>
      <c r="C290" s="3" t="s">
        <v>300</v>
      </c>
      <c r="D290" s="57"/>
      <c r="E290" s="57"/>
      <c r="F290" s="57"/>
    </row>
    <row r="291" spans="1:6" ht="16.149999999999999" customHeight="1" x14ac:dyDescent="0.2">
      <c r="A291" s="254" t="s">
        <v>349</v>
      </c>
      <c r="B291" s="3" t="s">
        <v>117</v>
      </c>
      <c r="C291" s="3" t="s">
        <v>320</v>
      </c>
      <c r="D291" s="57">
        <v>866.90873999999997</v>
      </c>
      <c r="E291" s="57">
        <v>0</v>
      </c>
      <c r="F291" s="57">
        <v>0</v>
      </c>
    </row>
    <row r="292" spans="1:6" ht="15" customHeight="1" x14ac:dyDescent="0.2">
      <c r="A292" s="254" t="s">
        <v>306</v>
      </c>
      <c r="B292" s="3" t="s">
        <v>117</v>
      </c>
      <c r="C292" s="3" t="s">
        <v>307</v>
      </c>
      <c r="D292" s="57">
        <f>2000-70-70-70-9-48-327.489+500-296-146-34.5-140-4.5-70-70-140-70-70+5903.43723</f>
        <v>6767.94823</v>
      </c>
      <c r="E292" s="57">
        <v>2000</v>
      </c>
      <c r="F292" s="57">
        <v>2000</v>
      </c>
    </row>
    <row r="293" spans="1:6" ht="30" hidden="1" customHeight="1" x14ac:dyDescent="0.2">
      <c r="A293" s="254" t="s">
        <v>401</v>
      </c>
      <c r="B293" s="3" t="s">
        <v>117</v>
      </c>
      <c r="C293" s="3" t="s">
        <v>402</v>
      </c>
      <c r="D293" s="57"/>
      <c r="E293" s="57"/>
      <c r="F293" s="57"/>
    </row>
    <row r="294" spans="1:6" ht="30" customHeight="1" x14ac:dyDescent="0.2">
      <c r="A294" s="254" t="s">
        <v>616</v>
      </c>
      <c r="B294" s="3" t="s">
        <v>117</v>
      </c>
      <c r="C294" s="3" t="s">
        <v>612</v>
      </c>
      <c r="D294" s="57">
        <v>77.989000000000004</v>
      </c>
      <c r="E294" s="57">
        <v>0</v>
      </c>
      <c r="F294" s="57">
        <v>0</v>
      </c>
    </row>
    <row r="295" spans="1:6" ht="30" customHeight="1" x14ac:dyDescent="0.2">
      <c r="A295" s="254" t="s">
        <v>601</v>
      </c>
      <c r="B295" s="3" t="s">
        <v>117</v>
      </c>
      <c r="C295" s="3" t="s">
        <v>600</v>
      </c>
      <c r="D295" s="57">
        <f>70+70+70+140+280+10+140+140+70+70+140+70+70</f>
        <v>1340</v>
      </c>
      <c r="E295" s="57">
        <v>0</v>
      </c>
      <c r="F295" s="57">
        <v>0</v>
      </c>
    </row>
    <row r="296" spans="1:6" ht="42" hidden="1" customHeight="1" x14ac:dyDescent="0.2">
      <c r="A296" s="254" t="s">
        <v>529</v>
      </c>
      <c r="B296" s="3" t="s">
        <v>117</v>
      </c>
      <c r="C296" s="3" t="s">
        <v>530</v>
      </c>
      <c r="D296" s="57"/>
      <c r="E296" s="57"/>
      <c r="F296" s="57"/>
    </row>
    <row r="297" spans="1:6" ht="42" customHeight="1" x14ac:dyDescent="0.2">
      <c r="A297" s="254" t="s">
        <v>525</v>
      </c>
      <c r="B297" s="3" t="s">
        <v>117</v>
      </c>
      <c r="C297" s="3" t="s">
        <v>526</v>
      </c>
      <c r="D297" s="57">
        <f>9+48+109.5+6+6+34.5+4.5</f>
        <v>217.5</v>
      </c>
      <c r="E297" s="57">
        <v>0</v>
      </c>
      <c r="F297" s="57">
        <v>0</v>
      </c>
    </row>
    <row r="298" spans="1:6" ht="16.149999999999999" customHeight="1" x14ac:dyDescent="0.2">
      <c r="A298" s="254" t="s">
        <v>313</v>
      </c>
      <c r="B298" s="3" t="s">
        <v>117</v>
      </c>
      <c r="C298" s="3" t="s">
        <v>314</v>
      </c>
      <c r="D298" s="57">
        <f>80.32+64.3</f>
        <v>144.62</v>
      </c>
      <c r="E298" s="57">
        <v>80.319999999999993</v>
      </c>
      <c r="F298" s="57">
        <v>80.319999999999993</v>
      </c>
    </row>
    <row r="299" spans="1:6" ht="57.6" customHeight="1" x14ac:dyDescent="0.2">
      <c r="A299" s="254" t="s">
        <v>318</v>
      </c>
      <c r="B299" s="3" t="s">
        <v>117</v>
      </c>
      <c r="C299" s="3" t="s">
        <v>319</v>
      </c>
      <c r="D299" s="57">
        <v>120</v>
      </c>
      <c r="E299" s="57">
        <v>120</v>
      </c>
      <c r="F299" s="57">
        <v>120</v>
      </c>
    </row>
    <row r="300" spans="1:6" s="55" customFormat="1" ht="16.899999999999999" hidden="1" customHeight="1" x14ac:dyDescent="0.2">
      <c r="A300" s="254" t="s">
        <v>451</v>
      </c>
      <c r="B300" s="3" t="s">
        <v>225</v>
      </c>
      <c r="C300" s="3" t="s">
        <v>452</v>
      </c>
      <c r="D300" s="57">
        <v>0</v>
      </c>
      <c r="E300" s="57">
        <v>0</v>
      </c>
      <c r="F300" s="57">
        <v>0</v>
      </c>
    </row>
    <row r="301" spans="1:6" ht="16.899999999999999" customHeight="1" x14ac:dyDescent="0.2">
      <c r="A301" s="254" t="s">
        <v>474</v>
      </c>
      <c r="B301" s="3" t="s">
        <v>117</v>
      </c>
      <c r="C301" s="3" t="s">
        <v>475</v>
      </c>
      <c r="D301" s="57">
        <f>49.675</f>
        <v>49.674999999999997</v>
      </c>
      <c r="E301" s="57">
        <v>0</v>
      </c>
      <c r="F301" s="57">
        <v>0</v>
      </c>
    </row>
    <row r="302" spans="1:6" ht="30.6" customHeight="1" x14ac:dyDescent="0.2">
      <c r="A302" s="254" t="s">
        <v>527</v>
      </c>
      <c r="B302" s="3" t="s">
        <v>117</v>
      </c>
      <c r="C302" s="3" t="s">
        <v>528</v>
      </c>
      <c r="D302" s="57">
        <f>350+230+200+200</f>
        <v>980</v>
      </c>
      <c r="E302" s="57">
        <f>150+300</f>
        <v>450</v>
      </c>
      <c r="F302" s="57">
        <f>150+300</f>
        <v>450</v>
      </c>
    </row>
    <row r="303" spans="1:6" ht="30.6" hidden="1" customHeight="1" x14ac:dyDescent="0.2">
      <c r="A303" s="254" t="s">
        <v>603</v>
      </c>
      <c r="B303" s="3" t="s">
        <v>117</v>
      </c>
      <c r="C303" s="3" t="s">
        <v>602</v>
      </c>
      <c r="D303" s="57">
        <v>0</v>
      </c>
      <c r="E303" s="57">
        <v>0</v>
      </c>
      <c r="F303" s="57">
        <v>0</v>
      </c>
    </row>
    <row r="304" spans="1:6" s="92" customFormat="1" ht="16.5" customHeight="1" x14ac:dyDescent="0.2">
      <c r="A304" s="254" t="s">
        <v>787</v>
      </c>
      <c r="B304" s="3" t="s">
        <v>117</v>
      </c>
      <c r="C304" s="3" t="s">
        <v>588</v>
      </c>
      <c r="D304" s="57">
        <f>940-160</f>
        <v>780</v>
      </c>
      <c r="E304" s="57">
        <v>940</v>
      </c>
      <c r="F304" s="57">
        <v>940</v>
      </c>
    </row>
    <row r="305" spans="1:6" ht="60.75" customHeight="1" x14ac:dyDescent="0.2">
      <c r="A305" s="255" t="s">
        <v>81</v>
      </c>
      <c r="B305" s="17" t="s">
        <v>117</v>
      </c>
      <c r="C305" s="231">
        <v>9999959300</v>
      </c>
      <c r="D305" s="57">
        <f>'2  '!D92</f>
        <v>1447.646</v>
      </c>
      <c r="E305" s="57">
        <f>'2  '!E92</f>
        <v>1641.578</v>
      </c>
      <c r="F305" s="57">
        <f>'2  '!F92</f>
        <v>1696.2670000000001</v>
      </c>
    </row>
    <row r="306" spans="1:6" ht="33" hidden="1" customHeight="1" x14ac:dyDescent="0.2">
      <c r="A306" s="255" t="s">
        <v>412</v>
      </c>
      <c r="B306" s="17" t="s">
        <v>117</v>
      </c>
      <c r="C306" s="231" t="s">
        <v>413</v>
      </c>
      <c r="D306" s="57"/>
      <c r="E306" s="46"/>
      <c r="F306" s="46"/>
    </row>
    <row r="307" spans="1:6" ht="33" customHeight="1" x14ac:dyDescent="0.2">
      <c r="A307" s="255" t="s">
        <v>1119</v>
      </c>
      <c r="B307" s="17" t="s">
        <v>117</v>
      </c>
      <c r="C307" s="231">
        <v>9999993180</v>
      </c>
      <c r="D307" s="57">
        <f>'2  '!D97</f>
        <v>721.30499999999995</v>
      </c>
      <c r="E307" s="57">
        <f>'2  '!E97</f>
        <v>449.23899999999998</v>
      </c>
      <c r="F307" s="57">
        <f>'2  '!F97</f>
        <v>465.44900000000001</v>
      </c>
    </row>
    <row r="308" spans="1:6" ht="20.25" customHeight="1" x14ac:dyDescent="0.2">
      <c r="A308" s="422" t="s">
        <v>433</v>
      </c>
      <c r="B308" s="17" t="s">
        <v>117</v>
      </c>
      <c r="C308" s="86" t="s">
        <v>435</v>
      </c>
      <c r="D308" s="176">
        <f>'2  '!D93</f>
        <v>2863.1080000000002</v>
      </c>
      <c r="E308" s="176">
        <f>'2  '!E93</f>
        <v>2896.0889999999999</v>
      </c>
      <c r="F308" s="176">
        <f>'2  '!F93</f>
        <v>3011.933</v>
      </c>
    </row>
    <row r="309" spans="1:6" ht="31.5" customHeight="1" x14ac:dyDescent="0.2">
      <c r="A309" s="255" t="s">
        <v>82</v>
      </c>
      <c r="B309" s="17" t="s">
        <v>117</v>
      </c>
      <c r="C309" s="3" t="s">
        <v>435</v>
      </c>
      <c r="D309" s="57">
        <f>'2  '!D95</f>
        <v>1680.9669999999999</v>
      </c>
      <c r="E309" s="57">
        <f>'2  '!E95</f>
        <v>1844.0160000000001</v>
      </c>
      <c r="F309" s="57">
        <f>'2  '!F95</f>
        <v>1917.778</v>
      </c>
    </row>
    <row r="310" spans="1:6" ht="18.75" customHeight="1" x14ac:dyDescent="0.2">
      <c r="A310" s="255" t="s">
        <v>83</v>
      </c>
      <c r="B310" s="17" t="s">
        <v>117</v>
      </c>
      <c r="C310" s="3" t="s">
        <v>435</v>
      </c>
      <c r="D310" s="57">
        <f>'2  '!D94</f>
        <v>1182.1410000000001</v>
      </c>
      <c r="E310" s="57">
        <f>'2  '!E94</f>
        <v>1052.0730000000001</v>
      </c>
      <c r="F310" s="57">
        <f>'2  '!F94</f>
        <v>1094.155</v>
      </c>
    </row>
    <row r="311" spans="1:6" ht="30" customHeight="1" x14ac:dyDescent="0.2">
      <c r="A311" s="255" t="s">
        <v>393</v>
      </c>
      <c r="B311" s="17" t="s">
        <v>117</v>
      </c>
      <c r="C311" s="3" t="s">
        <v>29</v>
      </c>
      <c r="D311" s="57">
        <f>'2  '!D84</f>
        <v>1485.3911900000001</v>
      </c>
      <c r="E311" s="57">
        <f>'2  '!E84</f>
        <v>1485.3911900000001</v>
      </c>
      <c r="F311" s="57">
        <f>'2  '!F84</f>
        <v>1485.3911900000001</v>
      </c>
    </row>
    <row r="312" spans="1:6" ht="17.25" customHeight="1" x14ac:dyDescent="0.2">
      <c r="A312" s="255" t="s">
        <v>84</v>
      </c>
      <c r="B312" s="17" t="s">
        <v>117</v>
      </c>
      <c r="C312" s="3" t="s">
        <v>11</v>
      </c>
      <c r="D312" s="57">
        <f>'2  '!D79</f>
        <v>1101.2190000000001</v>
      </c>
      <c r="E312" s="57">
        <f>'2  '!E79</f>
        <v>1111.5809999999999</v>
      </c>
      <c r="F312" s="57">
        <f>'2  '!F79</f>
        <v>1153.444</v>
      </c>
    </row>
    <row r="313" spans="1:6" ht="30.6" customHeight="1" x14ac:dyDescent="0.2">
      <c r="A313" s="255" t="s">
        <v>372</v>
      </c>
      <c r="B313" s="17" t="s">
        <v>117</v>
      </c>
      <c r="C313" s="3" t="s">
        <v>381</v>
      </c>
      <c r="D313" s="57">
        <f>'2  '!D80</f>
        <v>2582.8829999999998</v>
      </c>
      <c r="E313" s="57">
        <f>'2  '!E80</f>
        <v>2607.136</v>
      </c>
      <c r="F313" s="57">
        <f>'2  '!F80</f>
        <v>2705.1170000000002</v>
      </c>
    </row>
    <row r="314" spans="1:6" ht="41.65" hidden="1" customHeight="1" x14ac:dyDescent="0.2">
      <c r="A314" s="255" t="s">
        <v>373</v>
      </c>
      <c r="B314" s="17" t="s">
        <v>117</v>
      </c>
      <c r="C314" s="3" t="s">
        <v>382</v>
      </c>
      <c r="D314" s="57"/>
      <c r="E314" s="46"/>
      <c r="F314" s="46"/>
    </row>
    <row r="315" spans="1:6" ht="29.65" hidden="1" customHeight="1" x14ac:dyDescent="0.2">
      <c r="A315" s="255" t="s">
        <v>374</v>
      </c>
      <c r="B315" s="17" t="s">
        <v>117</v>
      </c>
      <c r="C315" s="3" t="s">
        <v>383</v>
      </c>
      <c r="D315" s="57"/>
      <c r="E315" s="46"/>
      <c r="F315" s="46"/>
    </row>
    <row r="316" spans="1:6" ht="45" x14ac:dyDescent="0.2">
      <c r="A316" s="255" t="s">
        <v>85</v>
      </c>
      <c r="B316" s="17" t="s">
        <v>117</v>
      </c>
      <c r="C316" s="3" t="s">
        <v>20</v>
      </c>
      <c r="D316" s="57">
        <f>'2  '!D83</f>
        <v>2.31474</v>
      </c>
      <c r="E316" s="57">
        <f>'2  '!E83</f>
        <v>2.4073199999999999</v>
      </c>
      <c r="F316" s="57">
        <f>'2  '!F83</f>
        <v>2.5036200000000002</v>
      </c>
    </row>
    <row r="317" spans="1:6" ht="30.75" customHeight="1" x14ac:dyDescent="0.2">
      <c r="A317" s="255" t="s">
        <v>394</v>
      </c>
      <c r="B317" s="17" t="s">
        <v>117</v>
      </c>
      <c r="C317" s="3" t="s">
        <v>248</v>
      </c>
      <c r="D317" s="57">
        <f>'2  '!D90</f>
        <v>11.829000000000001</v>
      </c>
      <c r="E317" s="57">
        <f>'2  '!E90</f>
        <v>12.269</v>
      </c>
      <c r="F317" s="57">
        <f>'2  '!F90</f>
        <v>151.56200000000001</v>
      </c>
    </row>
    <row r="318" spans="1:6" ht="32.450000000000003" customHeight="1" x14ac:dyDescent="0.2">
      <c r="A318" s="255" t="s">
        <v>418</v>
      </c>
      <c r="B318" s="17" t="s">
        <v>117</v>
      </c>
      <c r="C318" s="3" t="s">
        <v>382</v>
      </c>
      <c r="D318" s="57">
        <v>0</v>
      </c>
      <c r="E318" s="46">
        <v>0</v>
      </c>
      <c r="F318" s="46">
        <v>16369.454879999999</v>
      </c>
    </row>
    <row r="319" spans="1:6" ht="25.9" hidden="1" customHeight="1" x14ac:dyDescent="0.2">
      <c r="A319" s="255" t="s">
        <v>350</v>
      </c>
      <c r="B319" s="17" t="s">
        <v>117</v>
      </c>
      <c r="C319" s="3" t="s">
        <v>312</v>
      </c>
      <c r="D319" s="57"/>
      <c r="E319" s="205"/>
      <c r="F319" s="205"/>
    </row>
    <row r="320" spans="1:6" ht="49.5" customHeight="1" x14ac:dyDescent="0.2">
      <c r="A320" s="255" t="s">
        <v>523</v>
      </c>
      <c r="B320" s="17" t="s">
        <v>117</v>
      </c>
      <c r="C320" s="3" t="s">
        <v>1047</v>
      </c>
      <c r="D320" s="57">
        <f>1225.59223+722.10612</f>
        <v>1947.6983500000001</v>
      </c>
      <c r="E320" s="57">
        <f>976.86347+782.89088</f>
        <v>1759.7543500000002</v>
      </c>
      <c r="F320" s="57">
        <f>976.86347+782.89087+9033.6</f>
        <v>10793.35434</v>
      </c>
    </row>
    <row r="321" spans="1:6" ht="46.5" customHeight="1" x14ac:dyDescent="0.2">
      <c r="A321" s="255" t="s">
        <v>522</v>
      </c>
      <c r="B321" s="17" t="s">
        <v>117</v>
      </c>
      <c r="C321" s="3" t="s">
        <v>503</v>
      </c>
      <c r="D321" s="57">
        <v>0</v>
      </c>
      <c r="E321" s="57">
        <v>0</v>
      </c>
      <c r="F321" s="57">
        <v>13550.4</v>
      </c>
    </row>
    <row r="322" spans="1:6" ht="87.6" hidden="1" customHeight="1" x14ac:dyDescent="0.2">
      <c r="A322" s="255" t="s">
        <v>476</v>
      </c>
      <c r="B322" s="17" t="s">
        <v>117</v>
      </c>
      <c r="C322" s="3" t="s">
        <v>469</v>
      </c>
      <c r="D322" s="57"/>
      <c r="E322" s="46"/>
      <c r="F322" s="46"/>
    </row>
    <row r="323" spans="1:6" ht="43.5" hidden="1" customHeight="1" x14ac:dyDescent="0.2">
      <c r="A323" s="255" t="s">
        <v>434</v>
      </c>
      <c r="B323" s="84"/>
      <c r="C323" s="3" t="s">
        <v>436</v>
      </c>
      <c r="D323" s="57"/>
      <c r="E323" s="46"/>
      <c r="F323" s="46"/>
    </row>
    <row r="324" spans="1:6" ht="43.5" hidden="1" customHeight="1" x14ac:dyDescent="0.2">
      <c r="A324" s="255" t="s">
        <v>405</v>
      </c>
      <c r="B324" s="84"/>
      <c r="C324" s="3" t="s">
        <v>406</v>
      </c>
      <c r="D324" s="57"/>
      <c r="E324" s="46"/>
      <c r="F324" s="46"/>
    </row>
    <row r="325" spans="1:6" ht="43.5" hidden="1" customHeight="1" x14ac:dyDescent="0.2">
      <c r="A325" s="255" t="s">
        <v>658</v>
      </c>
      <c r="B325" s="84"/>
      <c r="C325" s="3"/>
      <c r="D325" s="57"/>
      <c r="E325" s="46"/>
      <c r="F325" s="46"/>
    </row>
    <row r="326" spans="1:6" ht="24" hidden="1" customHeight="1" x14ac:dyDescent="0.2">
      <c r="A326" s="255"/>
      <c r="B326" s="84"/>
      <c r="C326" s="3"/>
      <c r="D326" s="57"/>
      <c r="E326" s="46"/>
      <c r="F326" s="46"/>
    </row>
    <row r="327" spans="1:6" ht="15.75" customHeight="1" x14ac:dyDescent="0.2">
      <c r="A327" s="255" t="s">
        <v>130</v>
      </c>
      <c r="B327" s="84">
        <v>951</v>
      </c>
      <c r="C327" s="4" t="s">
        <v>564</v>
      </c>
      <c r="D327" s="57">
        <v>0</v>
      </c>
      <c r="E327" s="46">
        <v>110</v>
      </c>
      <c r="F327" s="13">
        <f>10+100</f>
        <v>110</v>
      </c>
    </row>
    <row r="328" spans="1:6" ht="65.25" customHeight="1" x14ac:dyDescent="0.2">
      <c r="A328" s="255" t="s">
        <v>291</v>
      </c>
      <c r="B328" s="17" t="s">
        <v>226</v>
      </c>
      <c r="C328" s="4" t="s">
        <v>262</v>
      </c>
      <c r="D328" s="57">
        <v>0</v>
      </c>
      <c r="E328" s="46">
        <f>'2  '!E82</f>
        <v>11041.041999999999</v>
      </c>
      <c r="F328" s="46">
        <f>'2  '!F82</f>
        <v>11041.041999999999</v>
      </c>
    </row>
    <row r="329" spans="1:6" ht="28.15" customHeight="1" x14ac:dyDescent="0.2">
      <c r="A329" s="255" t="s">
        <v>185</v>
      </c>
      <c r="B329" s="17" t="s">
        <v>226</v>
      </c>
      <c r="C329" s="4" t="s">
        <v>565</v>
      </c>
      <c r="D329" s="57">
        <v>0</v>
      </c>
      <c r="E329" s="46">
        <v>650</v>
      </c>
      <c r="F329" s="13">
        <v>600</v>
      </c>
    </row>
    <row r="330" spans="1:6" ht="28.15" customHeight="1" x14ac:dyDescent="0.2">
      <c r="A330" s="255" t="s">
        <v>361</v>
      </c>
      <c r="B330" s="17" t="s">
        <v>226</v>
      </c>
      <c r="C330" s="4" t="s">
        <v>566</v>
      </c>
      <c r="D330" s="57">
        <v>0</v>
      </c>
      <c r="E330" s="46">
        <v>100</v>
      </c>
      <c r="F330" s="13">
        <v>100</v>
      </c>
    </row>
    <row r="331" spans="1:6" ht="15.75" customHeight="1" x14ac:dyDescent="0.2">
      <c r="A331" s="339" t="s">
        <v>561</v>
      </c>
      <c r="B331" s="91"/>
      <c r="C331" s="240"/>
      <c r="D331" s="241">
        <v>0</v>
      </c>
      <c r="E331" s="241">
        <f>(E337-'2  '!E41+'2  '!E43)*2.5%</f>
        <v>-11435.906199999998</v>
      </c>
      <c r="F331" s="241">
        <f>(F337-'2  '!F41+'2  '!F44)*5%</f>
        <v>-23666.072322000004</v>
      </c>
    </row>
    <row r="332" spans="1:6" ht="15.75" customHeight="1" x14ac:dyDescent="0.2">
      <c r="A332" s="346" t="s">
        <v>101</v>
      </c>
      <c r="B332" s="93"/>
      <c r="C332" s="242"/>
      <c r="D332" s="94">
        <f>SUM(D263:D308)+SUM(D311:D330)</f>
        <v>107425.62915999998</v>
      </c>
      <c r="E332" s="94">
        <f>SUM(E263:E308)+SUM(E311:E331)</f>
        <v>94974.314659999989</v>
      </c>
      <c r="F332" s="94">
        <f>SUM(F263:F308)+SUM(F311:F331)</f>
        <v>122113.579708</v>
      </c>
    </row>
    <row r="333" spans="1:6" s="40" customFormat="1" ht="18.75" customHeight="1" x14ac:dyDescent="0.25">
      <c r="A333" s="311" t="s">
        <v>86</v>
      </c>
      <c r="B333" s="80"/>
      <c r="C333" s="81"/>
      <c r="D333" s="83">
        <f>D332+D259</f>
        <v>1010516.7168374748</v>
      </c>
      <c r="E333" s="83">
        <f>E332+E259</f>
        <v>738143.8602900001</v>
      </c>
      <c r="F333" s="83">
        <f>F332+F259</f>
        <v>730828.5291579999</v>
      </c>
    </row>
    <row r="334" spans="1:6" s="40" customFormat="1" ht="18.75" customHeight="1" x14ac:dyDescent="0.25">
      <c r="A334" s="347"/>
      <c r="B334" s="207"/>
      <c r="C334" s="232"/>
      <c r="D334" s="233"/>
      <c r="E334" s="45"/>
      <c r="F334" s="45"/>
    </row>
    <row r="335" spans="1:6" ht="15.75" x14ac:dyDescent="0.2">
      <c r="A335" s="452"/>
      <c r="B335" s="452"/>
      <c r="C335" s="452"/>
      <c r="D335" s="24">
        <f>D333-D337</f>
        <v>-2.5251647457480431E-6</v>
      </c>
      <c r="E335" s="24"/>
      <c r="F335" s="31"/>
    </row>
    <row r="336" spans="1:6" x14ac:dyDescent="0.25">
      <c r="C336" s="234"/>
      <c r="D336" s="233"/>
    </row>
    <row r="337" spans="2:6" x14ac:dyDescent="0.25">
      <c r="C337" s="234"/>
      <c r="D337" s="222">
        <v>1010516.71684</v>
      </c>
      <c r="E337" s="44"/>
      <c r="F337" s="44"/>
    </row>
    <row r="338" spans="2:6" x14ac:dyDescent="0.2">
      <c r="B338" s="36"/>
      <c r="C338" s="234"/>
    </row>
    <row r="339" spans="2:6" x14ac:dyDescent="0.2">
      <c r="C339" s="234"/>
    </row>
    <row r="340" spans="2:6" x14ac:dyDescent="0.2">
      <c r="C340" s="235"/>
      <c r="D340" s="236"/>
      <c r="E340" s="53"/>
      <c r="F340" s="53"/>
    </row>
  </sheetData>
  <autoFilter ref="A9:F9"/>
  <mergeCells count="8">
    <mergeCell ref="A260:F260"/>
    <mergeCell ref="A335:C335"/>
    <mergeCell ref="A1:F1"/>
    <mergeCell ref="A2:F2"/>
    <mergeCell ref="A3:F3"/>
    <mergeCell ref="A4:F4"/>
    <mergeCell ref="A6:F6"/>
    <mergeCell ref="A11:D11"/>
  </mergeCells>
  <pageMargins left="0.25" right="0.25" top="0.75" bottom="0.75" header="0.3" footer="0.3"/>
  <pageSetup paperSize="9" scale="63" fitToHeight="0" orientation="portrait" r:id="rId1"/>
  <rowBreaks count="3" manualBreakCount="3">
    <brk id="212" max="5" man="1"/>
    <brk id="246" max="5" man="1"/>
    <brk id="334"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J34"/>
  <sheetViews>
    <sheetView workbookViewId="0">
      <selection activeCell="I18" sqref="I18"/>
    </sheetView>
  </sheetViews>
  <sheetFormatPr defaultColWidth="8.7109375" defaultRowHeight="15.75" x14ac:dyDescent="0.25"/>
  <cols>
    <col min="1" max="1" width="37.7109375" style="34" customWidth="1"/>
    <col min="2" max="2" width="4.7109375" style="1" hidden="1" customWidth="1"/>
    <col min="3" max="3" width="5.42578125" style="1" hidden="1" customWidth="1"/>
    <col min="4" max="4" width="12.28515625" style="1" hidden="1" customWidth="1"/>
    <col min="5" max="5" width="4.7109375" style="1" hidden="1" customWidth="1"/>
    <col min="6" max="6" width="16.5703125" style="385" customWidth="1"/>
    <col min="7" max="7" width="13.42578125" style="385" customWidth="1"/>
    <col min="8" max="8" width="15.5703125" style="385" customWidth="1"/>
    <col min="9" max="9" width="15.28515625" style="361" customWidth="1"/>
    <col min="10" max="10" width="15.5703125" style="361" customWidth="1"/>
    <col min="11" max="11" width="14.5703125" style="361" customWidth="1"/>
    <col min="12" max="12" width="18.140625" style="361" customWidth="1"/>
    <col min="13" max="13" width="15" style="361" customWidth="1"/>
    <col min="14" max="14" width="14.7109375" style="361" customWidth="1"/>
    <col min="15" max="16384" width="8.7109375" style="361"/>
  </cols>
  <sheetData>
    <row r="1" spans="1:166" ht="15.75" customHeight="1" x14ac:dyDescent="0.25">
      <c r="A1" s="359"/>
      <c r="B1" s="359"/>
      <c r="C1" s="359"/>
      <c r="D1" s="359"/>
      <c r="E1" s="360"/>
      <c r="F1" s="457"/>
      <c r="G1" s="457"/>
      <c r="H1" s="457"/>
      <c r="L1" s="457" t="s">
        <v>1155</v>
      </c>
      <c r="M1" s="457"/>
      <c r="N1" s="457"/>
    </row>
    <row r="2" spans="1:166" ht="18.75" x14ac:dyDescent="0.3">
      <c r="A2" s="362"/>
      <c r="B2" s="360"/>
      <c r="C2" s="360"/>
      <c r="D2" s="363"/>
      <c r="E2" s="360"/>
      <c r="F2" s="457"/>
      <c r="G2" s="457"/>
      <c r="H2" s="457"/>
      <c r="L2" s="457" t="s">
        <v>219</v>
      </c>
      <c r="M2" s="457"/>
      <c r="N2" s="457"/>
    </row>
    <row r="3" spans="1:166" ht="18.75" x14ac:dyDescent="0.3">
      <c r="A3" s="362"/>
      <c r="B3" s="360"/>
      <c r="C3" s="360"/>
      <c r="D3" s="363"/>
      <c r="E3" s="360"/>
      <c r="F3" s="457"/>
      <c r="G3" s="457"/>
      <c r="H3" s="457"/>
      <c r="L3" s="457" t="s">
        <v>220</v>
      </c>
      <c r="M3" s="457"/>
      <c r="N3" s="457"/>
    </row>
    <row r="4" spans="1:166" ht="15.75" customHeight="1" x14ac:dyDescent="0.25">
      <c r="A4" s="362"/>
      <c r="B4" s="360"/>
      <c r="C4" s="360"/>
      <c r="D4" s="360"/>
      <c r="E4" s="360"/>
      <c r="F4" s="459"/>
      <c r="G4" s="457"/>
      <c r="H4" s="457"/>
      <c r="L4" s="459" t="s">
        <v>1138</v>
      </c>
      <c r="M4" s="457"/>
      <c r="N4" s="457"/>
    </row>
    <row r="6" spans="1:166" x14ac:dyDescent="0.2">
      <c r="A6" s="460" t="s">
        <v>221</v>
      </c>
      <c r="B6" s="460"/>
      <c r="C6" s="460"/>
      <c r="D6" s="460"/>
      <c r="E6" s="460"/>
      <c r="F6" s="460"/>
      <c r="G6" s="460"/>
      <c r="H6" s="460"/>
      <c r="I6" s="460"/>
      <c r="J6" s="460"/>
      <c r="K6" s="460"/>
      <c r="L6" s="460"/>
      <c r="M6" s="460"/>
      <c r="N6" s="460"/>
    </row>
    <row r="7" spans="1:166" ht="12.75" x14ac:dyDescent="0.2">
      <c r="A7" s="461" t="s">
        <v>1141</v>
      </c>
      <c r="B7" s="461"/>
      <c r="C7" s="461"/>
      <c r="D7" s="461"/>
      <c r="E7" s="461"/>
      <c r="F7" s="461"/>
      <c r="G7" s="461"/>
      <c r="H7" s="461"/>
      <c r="I7" s="461"/>
      <c r="J7" s="461"/>
      <c r="K7" s="461"/>
      <c r="L7" s="461"/>
      <c r="M7" s="461"/>
      <c r="N7" s="461"/>
    </row>
    <row r="8" spans="1:166" ht="12.75" x14ac:dyDescent="0.2">
      <c r="A8" s="461"/>
      <c r="B8" s="461"/>
      <c r="C8" s="461"/>
      <c r="D8" s="461"/>
      <c r="E8" s="461"/>
      <c r="F8" s="461"/>
      <c r="G8" s="461"/>
      <c r="H8" s="461"/>
      <c r="I8" s="461"/>
      <c r="J8" s="461"/>
      <c r="K8" s="461"/>
      <c r="L8" s="461"/>
      <c r="M8" s="461"/>
      <c r="N8" s="461"/>
    </row>
    <row r="9" spans="1:166" ht="15" x14ac:dyDescent="0.2">
      <c r="A9" s="364"/>
      <c r="B9" s="364"/>
      <c r="C9" s="365"/>
      <c r="D9" s="365"/>
      <c r="E9" s="365"/>
      <c r="F9" s="365"/>
      <c r="G9" s="365"/>
      <c r="H9" s="366"/>
      <c r="I9" s="366"/>
      <c r="J9" s="366"/>
      <c r="K9" s="366"/>
      <c r="L9" s="366"/>
      <c r="M9" s="366"/>
      <c r="N9" s="366" t="s">
        <v>1142</v>
      </c>
    </row>
    <row r="10" spans="1:166" ht="12.75" x14ac:dyDescent="0.2">
      <c r="A10" s="462" t="s">
        <v>204</v>
      </c>
      <c r="B10" s="464" t="s">
        <v>105</v>
      </c>
      <c r="C10" s="464" t="s">
        <v>106</v>
      </c>
      <c r="D10" s="466" t="s">
        <v>205</v>
      </c>
      <c r="E10" s="464" t="s">
        <v>107</v>
      </c>
      <c r="F10" s="468" t="s">
        <v>501</v>
      </c>
      <c r="G10" s="470" t="s">
        <v>1143</v>
      </c>
      <c r="H10" s="470"/>
      <c r="I10" s="468" t="s">
        <v>562</v>
      </c>
      <c r="J10" s="470" t="s">
        <v>1143</v>
      </c>
      <c r="K10" s="470"/>
      <c r="L10" s="468" t="s">
        <v>656</v>
      </c>
      <c r="M10" s="470" t="s">
        <v>1143</v>
      </c>
      <c r="N10" s="470"/>
    </row>
    <row r="11" spans="1:166" ht="38.25" x14ac:dyDescent="0.2">
      <c r="A11" s="463"/>
      <c r="B11" s="465"/>
      <c r="C11" s="465"/>
      <c r="D11" s="467"/>
      <c r="E11" s="465"/>
      <c r="F11" s="469"/>
      <c r="G11" s="367" t="s">
        <v>1144</v>
      </c>
      <c r="H11" s="367" t="s">
        <v>1145</v>
      </c>
      <c r="I11" s="469"/>
      <c r="J11" s="367" t="s">
        <v>1144</v>
      </c>
      <c r="K11" s="367" t="s">
        <v>1145</v>
      </c>
      <c r="L11" s="469"/>
      <c r="M11" s="367" t="s">
        <v>1144</v>
      </c>
      <c r="N11" s="367" t="s">
        <v>1145</v>
      </c>
    </row>
    <row r="12" spans="1:166" s="372" customFormat="1" ht="12" x14ac:dyDescent="0.2">
      <c r="A12" s="368">
        <v>1</v>
      </c>
      <c r="B12" s="368">
        <v>2</v>
      </c>
      <c r="C12" s="368">
        <v>3</v>
      </c>
      <c r="D12" s="368">
        <v>4</v>
      </c>
      <c r="E12" s="368">
        <v>5</v>
      </c>
      <c r="F12" s="369">
        <v>6</v>
      </c>
      <c r="G12" s="370">
        <v>7</v>
      </c>
      <c r="H12" s="371">
        <v>8</v>
      </c>
      <c r="I12" s="369">
        <v>6</v>
      </c>
      <c r="J12" s="370">
        <v>7</v>
      </c>
      <c r="K12" s="371">
        <v>8</v>
      </c>
      <c r="L12" s="369">
        <v>6</v>
      </c>
      <c r="M12" s="370">
        <v>7</v>
      </c>
      <c r="N12" s="371">
        <v>8</v>
      </c>
    </row>
    <row r="13" spans="1:166" s="372" customFormat="1" ht="63" hidden="1" x14ac:dyDescent="0.2">
      <c r="A13" s="373" t="s">
        <v>1146</v>
      </c>
      <c r="B13" s="8" t="s">
        <v>211</v>
      </c>
      <c r="C13" s="8" t="s">
        <v>211</v>
      </c>
      <c r="D13" s="8"/>
      <c r="E13" s="8"/>
      <c r="F13" s="374"/>
      <c r="G13" s="375"/>
      <c r="H13" s="375"/>
      <c r="I13" s="374"/>
      <c r="J13" s="375"/>
      <c r="K13" s="375"/>
      <c r="L13" s="374"/>
      <c r="M13" s="375"/>
      <c r="N13" s="375"/>
    </row>
    <row r="14" spans="1:166" s="380" customFormat="1" ht="78.75" hidden="1" x14ac:dyDescent="0.2">
      <c r="A14" s="376" t="s">
        <v>1147</v>
      </c>
      <c r="B14" s="377" t="s">
        <v>211</v>
      </c>
      <c r="C14" s="377" t="s">
        <v>211</v>
      </c>
      <c r="D14" s="377"/>
      <c r="E14" s="377"/>
      <c r="F14" s="378"/>
      <c r="G14" s="379"/>
      <c r="H14" s="379"/>
      <c r="I14" s="378"/>
      <c r="J14" s="379"/>
      <c r="K14" s="379"/>
      <c r="L14" s="378"/>
      <c r="M14" s="379"/>
      <c r="N14" s="379"/>
    </row>
    <row r="15" spans="1:166" s="386" customFormat="1" ht="31.5" hidden="1" x14ac:dyDescent="0.2">
      <c r="A15" s="381" t="s">
        <v>120</v>
      </c>
      <c r="B15" s="382" t="s">
        <v>211</v>
      </c>
      <c r="C15" s="382" t="s">
        <v>211</v>
      </c>
      <c r="D15" s="382" t="s">
        <v>51</v>
      </c>
      <c r="E15" s="382" t="s">
        <v>121</v>
      </c>
      <c r="F15" s="383">
        <f>G15+H15</f>
        <v>0</v>
      </c>
      <c r="G15" s="384">
        <v>0</v>
      </c>
      <c r="H15" s="384">
        <v>0</v>
      </c>
      <c r="I15" s="383">
        <f>J15+K15</f>
        <v>0</v>
      </c>
      <c r="J15" s="384">
        <v>0</v>
      </c>
      <c r="K15" s="384">
        <v>0</v>
      </c>
      <c r="L15" s="383">
        <f>M15+N15</f>
        <v>0</v>
      </c>
      <c r="M15" s="384">
        <v>0</v>
      </c>
      <c r="N15" s="384">
        <v>0</v>
      </c>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5"/>
      <c r="AL15" s="385"/>
      <c r="AM15" s="385"/>
      <c r="AN15" s="385"/>
      <c r="AO15" s="385"/>
      <c r="AP15" s="385"/>
      <c r="AQ15" s="385"/>
      <c r="AR15" s="385"/>
      <c r="AS15" s="385"/>
      <c r="AT15" s="385"/>
      <c r="AU15" s="385"/>
      <c r="AV15" s="385"/>
      <c r="AW15" s="385"/>
      <c r="AX15" s="385"/>
      <c r="AY15" s="385"/>
      <c r="AZ15" s="385"/>
      <c r="BA15" s="385"/>
      <c r="BB15" s="385"/>
      <c r="BC15" s="385"/>
      <c r="BD15" s="385"/>
      <c r="BE15" s="385"/>
      <c r="BF15" s="385"/>
      <c r="BG15" s="385"/>
      <c r="BH15" s="385"/>
      <c r="BI15" s="385"/>
      <c r="BJ15" s="385"/>
      <c r="BK15" s="385"/>
      <c r="BL15" s="385"/>
      <c r="BM15" s="385"/>
      <c r="BN15" s="385"/>
      <c r="BO15" s="385"/>
      <c r="BP15" s="385"/>
      <c r="BQ15" s="385"/>
      <c r="BR15" s="385"/>
      <c r="BS15" s="385"/>
      <c r="BT15" s="385"/>
      <c r="BU15" s="385"/>
      <c r="BV15" s="385"/>
      <c r="BW15" s="385"/>
      <c r="BX15" s="385"/>
      <c r="BY15" s="385"/>
      <c r="BZ15" s="385"/>
      <c r="CA15" s="385"/>
      <c r="CB15" s="385"/>
      <c r="CC15" s="385"/>
      <c r="CD15" s="385"/>
      <c r="CE15" s="385"/>
      <c r="CF15" s="385"/>
      <c r="CG15" s="385"/>
      <c r="CH15" s="385"/>
      <c r="CI15" s="385"/>
      <c r="CJ15" s="385"/>
      <c r="CK15" s="385"/>
      <c r="CL15" s="385"/>
      <c r="CM15" s="385"/>
      <c r="CN15" s="385"/>
      <c r="CO15" s="385"/>
      <c r="CP15" s="385"/>
      <c r="CQ15" s="385"/>
      <c r="CR15" s="385"/>
      <c r="CS15" s="385"/>
      <c r="CT15" s="385"/>
      <c r="CU15" s="385"/>
      <c r="CV15" s="385"/>
      <c r="CW15" s="385"/>
      <c r="CX15" s="385"/>
      <c r="CY15" s="385"/>
      <c r="CZ15" s="385"/>
      <c r="DA15" s="385"/>
      <c r="DB15" s="385"/>
      <c r="DC15" s="385"/>
      <c r="DD15" s="385"/>
      <c r="DE15" s="385"/>
      <c r="DF15" s="385"/>
      <c r="DG15" s="385"/>
      <c r="DH15" s="385"/>
      <c r="DI15" s="385"/>
      <c r="DJ15" s="385"/>
      <c r="DK15" s="385"/>
      <c r="DL15" s="385"/>
      <c r="DM15" s="385"/>
      <c r="DN15" s="385"/>
      <c r="DO15" s="385"/>
      <c r="DP15" s="385"/>
      <c r="DQ15" s="385"/>
      <c r="DR15" s="385"/>
      <c r="DS15" s="385"/>
      <c r="DT15" s="385"/>
      <c r="DU15" s="385"/>
      <c r="DV15" s="385"/>
      <c r="DW15" s="385"/>
      <c r="DX15" s="385"/>
      <c r="DY15" s="385"/>
      <c r="DZ15" s="385"/>
      <c r="EA15" s="385"/>
      <c r="EB15" s="385"/>
      <c r="EC15" s="385"/>
      <c r="ED15" s="385"/>
      <c r="EE15" s="385"/>
      <c r="EF15" s="385"/>
      <c r="EG15" s="385"/>
      <c r="EH15" s="385"/>
      <c r="EI15" s="385"/>
      <c r="EJ15" s="385"/>
      <c r="EK15" s="385"/>
      <c r="EL15" s="385"/>
      <c r="EM15" s="385"/>
      <c r="EN15" s="385"/>
      <c r="EO15" s="385"/>
      <c r="EP15" s="385"/>
      <c r="EQ15" s="385"/>
      <c r="ER15" s="385"/>
      <c r="ES15" s="385"/>
      <c r="ET15" s="385"/>
      <c r="EU15" s="385"/>
      <c r="EV15" s="385"/>
      <c r="EW15" s="385"/>
      <c r="EX15" s="385"/>
      <c r="EY15" s="385"/>
      <c r="EZ15" s="385"/>
      <c r="FA15" s="385"/>
      <c r="FB15" s="385"/>
      <c r="FC15" s="385"/>
      <c r="FD15" s="385"/>
      <c r="FE15" s="385"/>
      <c r="FF15" s="385"/>
      <c r="FG15" s="385"/>
      <c r="FH15" s="385"/>
      <c r="FI15" s="385"/>
      <c r="FJ15" s="385"/>
    </row>
    <row r="16" spans="1:166" s="392" customFormat="1" ht="15" x14ac:dyDescent="0.2">
      <c r="A16" s="387" t="s">
        <v>1148</v>
      </c>
      <c r="B16" s="388" t="s">
        <v>127</v>
      </c>
      <c r="C16" s="388" t="s">
        <v>109</v>
      </c>
      <c r="D16" s="388"/>
      <c r="E16" s="388"/>
      <c r="F16" s="389"/>
      <c r="G16" s="390"/>
      <c r="H16" s="390"/>
      <c r="I16" s="389"/>
      <c r="J16" s="390"/>
      <c r="K16" s="390"/>
      <c r="L16" s="389"/>
      <c r="M16" s="390"/>
      <c r="N16" s="390"/>
      <c r="O16" s="391"/>
      <c r="P16" s="391"/>
      <c r="Q16" s="391"/>
      <c r="R16" s="391"/>
      <c r="S16" s="391"/>
      <c r="T16" s="391"/>
      <c r="U16" s="391"/>
      <c r="V16" s="391"/>
      <c r="W16" s="391"/>
      <c r="X16" s="391"/>
      <c r="Y16" s="391"/>
      <c r="Z16" s="391"/>
      <c r="AA16" s="391"/>
      <c r="AB16" s="391"/>
      <c r="AC16" s="391"/>
      <c r="AD16" s="391"/>
      <c r="AE16" s="391"/>
      <c r="AF16" s="391"/>
      <c r="AG16" s="391"/>
      <c r="AH16" s="391"/>
      <c r="AI16" s="391"/>
      <c r="AJ16" s="391"/>
      <c r="AK16" s="391"/>
      <c r="AL16" s="391"/>
      <c r="AM16" s="391"/>
      <c r="AN16" s="391"/>
      <c r="AO16" s="391"/>
      <c r="AP16" s="391"/>
      <c r="AQ16" s="391"/>
      <c r="AR16" s="391"/>
      <c r="AS16" s="391"/>
      <c r="AT16" s="391"/>
      <c r="AU16" s="391"/>
      <c r="AV16" s="391"/>
      <c r="AW16" s="391"/>
      <c r="AX16" s="391"/>
      <c r="AY16" s="391"/>
      <c r="AZ16" s="391"/>
      <c r="BA16" s="391"/>
      <c r="BB16" s="391"/>
      <c r="BC16" s="391"/>
      <c r="BD16" s="391"/>
      <c r="BE16" s="391"/>
      <c r="BF16" s="391"/>
      <c r="BG16" s="391"/>
      <c r="BH16" s="391"/>
      <c r="BI16" s="391"/>
      <c r="BJ16" s="391"/>
      <c r="BK16" s="391"/>
      <c r="BL16" s="391"/>
      <c r="BM16" s="391"/>
      <c r="BN16" s="391"/>
      <c r="BO16" s="391"/>
      <c r="BP16" s="391"/>
      <c r="BQ16" s="391"/>
      <c r="BR16" s="391"/>
      <c r="BS16" s="391"/>
      <c r="BT16" s="391"/>
      <c r="BU16" s="391"/>
      <c r="BV16" s="391"/>
      <c r="BW16" s="391"/>
      <c r="BX16" s="391"/>
      <c r="BY16" s="391"/>
      <c r="BZ16" s="391"/>
      <c r="CA16" s="391"/>
      <c r="CB16" s="391"/>
      <c r="CC16" s="391"/>
      <c r="CD16" s="391"/>
      <c r="CE16" s="391"/>
      <c r="CF16" s="391"/>
      <c r="CG16" s="391"/>
      <c r="CH16" s="391"/>
      <c r="CI16" s="391"/>
      <c r="CJ16" s="391"/>
      <c r="CK16" s="391"/>
      <c r="CL16" s="391"/>
      <c r="CM16" s="391"/>
      <c r="CN16" s="391"/>
      <c r="CO16" s="391"/>
      <c r="CP16" s="391"/>
      <c r="CQ16" s="391"/>
      <c r="CR16" s="391"/>
      <c r="CS16" s="391"/>
      <c r="CT16" s="391"/>
      <c r="CU16" s="391"/>
      <c r="CV16" s="391"/>
      <c r="CW16" s="391"/>
      <c r="CX16" s="391"/>
      <c r="CY16" s="391"/>
      <c r="CZ16" s="391"/>
      <c r="DA16" s="391"/>
      <c r="DB16" s="391"/>
      <c r="DC16" s="391"/>
      <c r="DD16" s="391"/>
      <c r="DE16" s="391"/>
      <c r="DF16" s="391"/>
      <c r="DG16" s="391"/>
      <c r="DH16" s="391"/>
      <c r="DI16" s="391"/>
      <c r="DJ16" s="391"/>
      <c r="DK16" s="391"/>
      <c r="DL16" s="391"/>
      <c r="DM16" s="391"/>
      <c r="DN16" s="391"/>
      <c r="DO16" s="391"/>
      <c r="DP16" s="391"/>
      <c r="DQ16" s="391"/>
      <c r="DR16" s="391"/>
      <c r="DS16" s="391"/>
      <c r="DT16" s="391"/>
      <c r="DU16" s="391"/>
      <c r="DV16" s="391"/>
      <c r="DW16" s="391"/>
      <c r="DX16" s="391"/>
      <c r="DY16" s="391"/>
      <c r="DZ16" s="391"/>
      <c r="EA16" s="391"/>
      <c r="EB16" s="391"/>
      <c r="EC16" s="391"/>
      <c r="ED16" s="391"/>
      <c r="EE16" s="391"/>
      <c r="EF16" s="391"/>
      <c r="EG16" s="391"/>
      <c r="EH16" s="391"/>
      <c r="EI16" s="391"/>
      <c r="EJ16" s="391"/>
      <c r="EK16" s="391"/>
      <c r="EL16" s="391"/>
      <c r="EM16" s="391"/>
      <c r="EN16" s="391"/>
      <c r="EO16" s="391"/>
      <c r="EP16" s="391"/>
      <c r="EQ16" s="391"/>
      <c r="ER16" s="391"/>
      <c r="ES16" s="391"/>
      <c r="ET16" s="391"/>
      <c r="EU16" s="391"/>
      <c r="EV16" s="391"/>
      <c r="EW16" s="391"/>
      <c r="EX16" s="391"/>
      <c r="EY16" s="391"/>
      <c r="EZ16" s="391"/>
      <c r="FA16" s="391"/>
      <c r="FB16" s="391"/>
      <c r="FC16" s="391"/>
      <c r="FD16" s="391"/>
      <c r="FE16" s="391"/>
      <c r="FF16" s="391"/>
      <c r="FG16" s="391"/>
      <c r="FH16" s="391"/>
      <c r="FI16" s="391"/>
      <c r="FJ16" s="391"/>
    </row>
    <row r="17" spans="1:166" s="396" customFormat="1" ht="15" x14ac:dyDescent="0.2">
      <c r="A17" s="393" t="s">
        <v>104</v>
      </c>
      <c r="B17" s="4"/>
      <c r="C17" s="4"/>
      <c r="D17" s="4"/>
      <c r="E17" s="4"/>
      <c r="F17" s="394"/>
      <c r="G17" s="395"/>
      <c r="H17" s="395"/>
      <c r="I17" s="394"/>
      <c r="J17" s="395"/>
      <c r="K17" s="395"/>
      <c r="L17" s="394"/>
      <c r="M17" s="395"/>
      <c r="N17" s="395"/>
    </row>
    <row r="18" spans="1:166" s="399" customFormat="1" ht="30" x14ac:dyDescent="0.2">
      <c r="A18" s="2" t="s">
        <v>256</v>
      </c>
      <c r="B18" s="4" t="s">
        <v>127</v>
      </c>
      <c r="C18" s="4" t="s">
        <v>108</v>
      </c>
      <c r="D18" s="4" t="s">
        <v>67</v>
      </c>
      <c r="E18" s="4" t="s">
        <v>121</v>
      </c>
      <c r="F18" s="397">
        <f>G18+H18</f>
        <v>2332</v>
      </c>
      <c r="G18" s="57">
        <f>1200+1275-125-18</f>
        <v>2332</v>
      </c>
      <c r="H18" s="11">
        <v>0</v>
      </c>
      <c r="I18" s="397">
        <f>J18+K18</f>
        <v>1200</v>
      </c>
      <c r="J18" s="57">
        <v>1200</v>
      </c>
      <c r="K18" s="11">
        <v>0</v>
      </c>
      <c r="L18" s="176">
        <f>M18</f>
        <v>1200</v>
      </c>
      <c r="M18" s="57">
        <v>1200</v>
      </c>
      <c r="N18" s="11">
        <v>0</v>
      </c>
      <c r="O18" s="398"/>
      <c r="P18" s="398"/>
      <c r="Q18" s="398"/>
      <c r="R18" s="398"/>
      <c r="S18" s="398"/>
      <c r="T18" s="398"/>
      <c r="U18" s="398"/>
      <c r="V18" s="398"/>
      <c r="W18" s="398"/>
      <c r="X18" s="398"/>
      <c r="Y18" s="398"/>
      <c r="Z18" s="398"/>
      <c r="AA18" s="398"/>
      <c r="AB18" s="398"/>
      <c r="AC18" s="398"/>
      <c r="AD18" s="398"/>
      <c r="AE18" s="398"/>
      <c r="AF18" s="398"/>
      <c r="AG18" s="398"/>
      <c r="AH18" s="398"/>
      <c r="AI18" s="398"/>
      <c r="AJ18" s="398"/>
      <c r="AK18" s="398"/>
      <c r="AL18" s="398"/>
      <c r="AM18" s="398"/>
      <c r="AN18" s="398"/>
      <c r="AO18" s="398"/>
      <c r="AP18" s="398"/>
      <c r="AQ18" s="398"/>
      <c r="AR18" s="398"/>
      <c r="AS18" s="398"/>
      <c r="AT18" s="398"/>
      <c r="AU18" s="398"/>
      <c r="AV18" s="398"/>
      <c r="AW18" s="398"/>
      <c r="AX18" s="398"/>
      <c r="AY18" s="398"/>
      <c r="AZ18" s="398"/>
      <c r="BA18" s="398"/>
      <c r="BB18" s="398"/>
      <c r="BC18" s="398"/>
      <c r="BD18" s="398"/>
      <c r="BE18" s="398"/>
      <c r="BF18" s="398"/>
      <c r="BG18" s="398"/>
      <c r="BH18" s="398"/>
      <c r="BI18" s="398"/>
      <c r="BJ18" s="398"/>
      <c r="BK18" s="398"/>
      <c r="BL18" s="398"/>
      <c r="BM18" s="398"/>
      <c r="BN18" s="398"/>
      <c r="BO18" s="398"/>
      <c r="BP18" s="398"/>
      <c r="BQ18" s="398"/>
      <c r="BR18" s="398"/>
      <c r="BS18" s="398"/>
      <c r="BT18" s="398"/>
      <c r="BU18" s="398"/>
      <c r="BV18" s="398"/>
      <c r="BW18" s="398"/>
      <c r="BX18" s="398"/>
      <c r="BY18" s="398"/>
      <c r="BZ18" s="398"/>
      <c r="CA18" s="398"/>
      <c r="CB18" s="398"/>
      <c r="CC18" s="398"/>
      <c r="CD18" s="398"/>
      <c r="CE18" s="398"/>
      <c r="CF18" s="398"/>
      <c r="CG18" s="398"/>
      <c r="CH18" s="398"/>
      <c r="CI18" s="398"/>
      <c r="CJ18" s="398"/>
      <c r="CK18" s="398"/>
      <c r="CL18" s="398"/>
      <c r="CM18" s="398"/>
      <c r="CN18" s="398"/>
      <c r="CO18" s="398"/>
      <c r="CP18" s="398"/>
      <c r="CQ18" s="398"/>
      <c r="CR18" s="398"/>
      <c r="CS18" s="398"/>
      <c r="CT18" s="398"/>
      <c r="CU18" s="398"/>
      <c r="CV18" s="398"/>
      <c r="CW18" s="398"/>
      <c r="CX18" s="398"/>
      <c r="CY18" s="398"/>
      <c r="CZ18" s="398"/>
      <c r="DA18" s="398"/>
      <c r="DB18" s="398"/>
      <c r="DC18" s="398"/>
      <c r="DD18" s="398"/>
      <c r="DE18" s="398"/>
      <c r="DF18" s="398"/>
      <c r="DG18" s="398"/>
      <c r="DH18" s="398"/>
      <c r="DI18" s="398"/>
      <c r="DJ18" s="398"/>
      <c r="DK18" s="398"/>
      <c r="DL18" s="398"/>
      <c r="DM18" s="398"/>
      <c r="DN18" s="398"/>
      <c r="DO18" s="398"/>
      <c r="DP18" s="398"/>
      <c r="DQ18" s="398"/>
      <c r="DR18" s="398"/>
      <c r="DS18" s="398"/>
      <c r="DT18" s="398"/>
      <c r="DU18" s="398"/>
      <c r="DV18" s="398"/>
      <c r="DW18" s="398"/>
      <c r="DX18" s="398"/>
      <c r="DY18" s="398"/>
      <c r="DZ18" s="398"/>
      <c r="EA18" s="398"/>
      <c r="EB18" s="398"/>
      <c r="EC18" s="398"/>
      <c r="ED18" s="398"/>
      <c r="EE18" s="398"/>
      <c r="EF18" s="398"/>
      <c r="EG18" s="398"/>
      <c r="EH18" s="398"/>
      <c r="EI18" s="398"/>
      <c r="EJ18" s="398"/>
      <c r="EK18" s="398"/>
      <c r="EL18" s="398"/>
      <c r="EM18" s="398"/>
      <c r="EN18" s="398"/>
      <c r="EO18" s="398"/>
      <c r="EP18" s="398"/>
      <c r="EQ18" s="398"/>
      <c r="ER18" s="398"/>
      <c r="ES18" s="398"/>
      <c r="ET18" s="398"/>
      <c r="EU18" s="398"/>
      <c r="EV18" s="398"/>
      <c r="EW18" s="398"/>
      <c r="EX18" s="398"/>
      <c r="EY18" s="398"/>
      <c r="EZ18" s="398"/>
      <c r="FA18" s="398"/>
      <c r="FB18" s="398"/>
      <c r="FC18" s="398"/>
      <c r="FD18" s="398"/>
      <c r="FE18" s="398"/>
      <c r="FF18" s="398"/>
      <c r="FG18" s="398"/>
      <c r="FH18" s="398"/>
      <c r="FI18" s="398"/>
      <c r="FJ18" s="398"/>
    </row>
    <row r="19" spans="1:166" s="402" customFormat="1" ht="15" x14ac:dyDescent="0.25">
      <c r="A19" s="387" t="s">
        <v>332</v>
      </c>
      <c r="B19" s="388" t="s">
        <v>127</v>
      </c>
      <c r="C19" s="388" t="s">
        <v>111</v>
      </c>
      <c r="D19" s="388"/>
      <c r="E19" s="388"/>
      <c r="F19" s="400"/>
      <c r="G19" s="401"/>
      <c r="H19" s="401"/>
      <c r="I19" s="400"/>
      <c r="J19" s="401"/>
      <c r="K19" s="401"/>
      <c r="L19" s="400"/>
      <c r="M19" s="401"/>
      <c r="N19" s="401"/>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row>
    <row r="20" spans="1:166" s="402" customFormat="1" ht="75" x14ac:dyDescent="0.25">
      <c r="A20" s="2" t="s">
        <v>1149</v>
      </c>
      <c r="B20" s="4" t="s">
        <v>127</v>
      </c>
      <c r="C20" s="4" t="s">
        <v>111</v>
      </c>
      <c r="D20" s="9" t="s">
        <v>1150</v>
      </c>
      <c r="E20" s="4" t="s">
        <v>165</v>
      </c>
      <c r="F20" s="397">
        <f>G20+H20</f>
        <v>440.4</v>
      </c>
      <c r="G20" s="11">
        <v>0</v>
      </c>
      <c r="H20" s="11">
        <f>'2  '!D75</f>
        <v>440.4</v>
      </c>
      <c r="I20" s="397">
        <f>J20+K20</f>
        <v>1130</v>
      </c>
      <c r="J20" s="11">
        <v>0</v>
      </c>
      <c r="K20" s="11">
        <v>1130</v>
      </c>
      <c r="L20" s="397">
        <f>M20+N20</f>
        <v>0</v>
      </c>
      <c r="M20" s="11">
        <v>0</v>
      </c>
      <c r="N20" s="11">
        <v>0</v>
      </c>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row>
    <row r="21" spans="1:166" s="402" customFormat="1" ht="15" x14ac:dyDescent="0.25">
      <c r="A21" s="387" t="s">
        <v>216</v>
      </c>
      <c r="B21" s="388" t="s">
        <v>127</v>
      </c>
      <c r="C21" s="388" t="s">
        <v>113</v>
      </c>
      <c r="D21" s="388"/>
      <c r="E21" s="388"/>
      <c r="F21" s="400"/>
      <c r="G21" s="401"/>
      <c r="H21" s="401"/>
      <c r="I21" s="400"/>
      <c r="J21" s="401"/>
      <c r="K21" s="401"/>
      <c r="L21" s="400"/>
      <c r="M21" s="401"/>
      <c r="N21" s="401"/>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row>
    <row r="22" spans="1:166" s="402" customFormat="1" ht="150" hidden="1" x14ac:dyDescent="0.25">
      <c r="A22" s="403" t="s">
        <v>375</v>
      </c>
      <c r="B22" s="4" t="s">
        <v>127</v>
      </c>
      <c r="C22" s="4" t="s">
        <v>113</v>
      </c>
      <c r="D22" s="4"/>
      <c r="E22" s="4"/>
      <c r="F22" s="404"/>
      <c r="G22" s="395"/>
      <c r="H22" s="395"/>
      <c r="I22" s="404"/>
      <c r="J22" s="395"/>
      <c r="K22" s="395"/>
      <c r="L22" s="404"/>
      <c r="M22" s="395"/>
      <c r="N22" s="39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row>
    <row r="23" spans="1:166" s="402" customFormat="1" ht="75" x14ac:dyDescent="0.25">
      <c r="A23" s="405" t="s">
        <v>1151</v>
      </c>
      <c r="B23" s="4" t="s">
        <v>127</v>
      </c>
      <c r="C23" s="4" t="s">
        <v>113</v>
      </c>
      <c r="D23" s="4" t="s">
        <v>382</v>
      </c>
      <c r="E23" s="4" t="s">
        <v>121</v>
      </c>
      <c r="F23" s="397">
        <f>G23+H23</f>
        <v>9137.9681300000011</v>
      </c>
      <c r="G23" s="11"/>
      <c r="H23" s="11">
        <f>'3'!F832</f>
        <v>9137.9681300000011</v>
      </c>
      <c r="I23" s="397">
        <f>J23+K23</f>
        <v>13622.855009999999</v>
      </c>
      <c r="J23" s="11"/>
      <c r="K23" s="13">
        <f>'[2]3'!G815</f>
        <v>13622.855009999999</v>
      </c>
      <c r="L23" s="397">
        <f>M23+N23</f>
        <v>14404.454879999999</v>
      </c>
      <c r="M23" s="11"/>
      <c r="N23" s="13">
        <f>'[2]3'!H841</f>
        <v>14404.454879999999</v>
      </c>
      <c r="O23" s="406"/>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row>
    <row r="24" spans="1:166" s="402" customFormat="1" ht="120" hidden="1" x14ac:dyDescent="0.25">
      <c r="A24" s="403" t="s">
        <v>376</v>
      </c>
      <c r="B24" s="4"/>
      <c r="C24" s="4"/>
      <c r="D24" s="4"/>
      <c r="E24" s="4"/>
      <c r="F24" s="397"/>
      <c r="G24" s="11"/>
      <c r="H24" s="11"/>
      <c r="I24" s="397"/>
      <c r="J24" s="11"/>
      <c r="K24" s="11"/>
      <c r="L24" s="397"/>
      <c r="M24" s="11"/>
      <c r="N24" s="11"/>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row>
    <row r="25" spans="1:166" s="402" customFormat="1" ht="60" hidden="1" x14ac:dyDescent="0.25">
      <c r="A25" s="405" t="s">
        <v>1152</v>
      </c>
      <c r="B25" s="4" t="s">
        <v>127</v>
      </c>
      <c r="C25" s="4" t="s">
        <v>113</v>
      </c>
      <c r="D25" s="4" t="s">
        <v>383</v>
      </c>
      <c r="E25" s="4" t="s">
        <v>121</v>
      </c>
      <c r="F25" s="397">
        <f>G25+H25</f>
        <v>0</v>
      </c>
      <c r="G25" s="11"/>
      <c r="H25" s="11">
        <v>0</v>
      </c>
      <c r="I25" s="397">
        <f>J25+K25</f>
        <v>0</v>
      </c>
      <c r="J25" s="11"/>
      <c r="K25" s="11">
        <v>0</v>
      </c>
      <c r="L25" s="397">
        <f>M25+N25</f>
        <v>0</v>
      </c>
      <c r="M25" s="11"/>
      <c r="N25" s="11">
        <v>0</v>
      </c>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row>
    <row r="26" spans="1:166" s="5" customFormat="1" ht="60" hidden="1" x14ac:dyDescent="0.25">
      <c r="A26" s="393" t="s">
        <v>812</v>
      </c>
      <c r="B26" s="4" t="s">
        <v>127</v>
      </c>
      <c r="C26" s="4" t="s">
        <v>113</v>
      </c>
      <c r="D26" s="4"/>
      <c r="E26" s="4"/>
      <c r="F26" s="397"/>
      <c r="G26" s="11"/>
      <c r="H26" s="11"/>
      <c r="I26" s="397"/>
      <c r="J26" s="11"/>
      <c r="K26" s="11"/>
      <c r="L26" s="397"/>
      <c r="M26" s="11"/>
      <c r="N26" s="11"/>
    </row>
    <row r="27" spans="1:166" s="392" customFormat="1" ht="90" hidden="1" x14ac:dyDescent="0.2">
      <c r="A27" s="403" t="s">
        <v>129</v>
      </c>
      <c r="B27" s="4" t="s">
        <v>127</v>
      </c>
      <c r="C27" s="4" t="s">
        <v>113</v>
      </c>
      <c r="D27" s="4"/>
      <c r="E27" s="4"/>
      <c r="F27" s="397"/>
      <c r="G27" s="11"/>
      <c r="H27" s="11"/>
      <c r="I27" s="397"/>
      <c r="J27" s="11"/>
      <c r="K27" s="11"/>
      <c r="L27" s="397"/>
      <c r="M27" s="11"/>
      <c r="N27" s="11"/>
      <c r="O27" s="391"/>
      <c r="P27" s="391"/>
      <c r="Q27" s="391"/>
      <c r="R27" s="391"/>
      <c r="S27" s="391"/>
      <c r="T27" s="391"/>
      <c r="U27" s="391"/>
      <c r="V27" s="391"/>
      <c r="W27" s="391"/>
      <c r="X27" s="391"/>
      <c r="Y27" s="391"/>
      <c r="Z27" s="391"/>
      <c r="AA27" s="391"/>
      <c r="AB27" s="391"/>
      <c r="AC27" s="391"/>
      <c r="AD27" s="391"/>
      <c r="AE27" s="391"/>
      <c r="AF27" s="391"/>
      <c r="AG27" s="391"/>
      <c r="AH27" s="391"/>
      <c r="AI27" s="391"/>
      <c r="AJ27" s="391"/>
      <c r="AK27" s="391"/>
      <c r="AL27" s="391"/>
      <c r="AM27" s="391"/>
      <c r="AN27" s="391"/>
      <c r="AO27" s="391"/>
      <c r="AP27" s="391"/>
      <c r="AQ27" s="391"/>
      <c r="AR27" s="391"/>
      <c r="AS27" s="391"/>
      <c r="AT27" s="391"/>
      <c r="AU27" s="391"/>
      <c r="AV27" s="391"/>
      <c r="AW27" s="391"/>
      <c r="AX27" s="391"/>
      <c r="AY27" s="391"/>
      <c r="AZ27" s="391"/>
      <c r="BA27" s="391"/>
      <c r="BB27" s="391"/>
      <c r="BC27" s="391"/>
      <c r="BD27" s="391"/>
      <c r="BE27" s="391"/>
      <c r="BF27" s="391"/>
      <c r="BG27" s="391"/>
      <c r="BH27" s="391"/>
      <c r="BI27" s="391"/>
      <c r="BJ27" s="391"/>
      <c r="BK27" s="391"/>
      <c r="BL27" s="391"/>
      <c r="BM27" s="391"/>
      <c r="BN27" s="391"/>
      <c r="BO27" s="391"/>
      <c r="BP27" s="391"/>
      <c r="BQ27" s="391"/>
      <c r="BR27" s="391"/>
      <c r="BS27" s="391"/>
      <c r="BT27" s="391"/>
      <c r="BU27" s="391"/>
      <c r="BV27" s="391"/>
      <c r="BW27" s="391"/>
      <c r="BX27" s="391"/>
      <c r="BY27" s="391"/>
      <c r="BZ27" s="391"/>
      <c r="CA27" s="391"/>
      <c r="CB27" s="391"/>
      <c r="CC27" s="391"/>
      <c r="CD27" s="391"/>
      <c r="CE27" s="391"/>
      <c r="CF27" s="391"/>
      <c r="CG27" s="391"/>
      <c r="CH27" s="391"/>
      <c r="CI27" s="391"/>
      <c r="CJ27" s="391"/>
      <c r="CK27" s="391"/>
      <c r="CL27" s="391"/>
      <c r="CM27" s="391"/>
      <c r="CN27" s="391"/>
      <c r="CO27" s="391"/>
      <c r="CP27" s="391"/>
      <c r="CQ27" s="391"/>
      <c r="CR27" s="391"/>
      <c r="CS27" s="391"/>
      <c r="CT27" s="391"/>
      <c r="CU27" s="391"/>
      <c r="CV27" s="391"/>
      <c r="CW27" s="391"/>
      <c r="CX27" s="391"/>
      <c r="CY27" s="391"/>
      <c r="CZ27" s="391"/>
      <c r="DA27" s="391"/>
      <c r="DB27" s="391"/>
      <c r="DC27" s="391"/>
      <c r="DD27" s="391"/>
      <c r="DE27" s="391"/>
      <c r="DF27" s="391"/>
      <c r="DG27" s="391"/>
      <c r="DH27" s="391"/>
      <c r="DI27" s="391"/>
      <c r="DJ27" s="391"/>
      <c r="DK27" s="391"/>
      <c r="DL27" s="391"/>
      <c r="DM27" s="391"/>
      <c r="DN27" s="391"/>
      <c r="DO27" s="391"/>
      <c r="DP27" s="391"/>
      <c r="DQ27" s="391"/>
      <c r="DR27" s="391"/>
      <c r="DS27" s="391"/>
      <c r="DT27" s="391"/>
      <c r="DU27" s="391"/>
      <c r="DV27" s="391"/>
      <c r="DW27" s="391"/>
      <c r="DX27" s="391"/>
      <c r="DY27" s="391"/>
      <c r="DZ27" s="391"/>
      <c r="EA27" s="391"/>
      <c r="EB27" s="391"/>
      <c r="EC27" s="391"/>
      <c r="ED27" s="391"/>
      <c r="EE27" s="391"/>
      <c r="EF27" s="391"/>
      <c r="EG27" s="391"/>
      <c r="EH27" s="391"/>
      <c r="EI27" s="391"/>
      <c r="EJ27" s="391"/>
      <c r="EK27" s="391"/>
      <c r="EL27" s="391"/>
      <c r="EM27" s="391"/>
      <c r="EN27" s="391"/>
      <c r="EO27" s="391"/>
      <c r="EP27" s="391"/>
      <c r="EQ27" s="391"/>
      <c r="ER27" s="391"/>
      <c r="ES27" s="391"/>
      <c r="ET27" s="391"/>
      <c r="EU27" s="391"/>
      <c r="EV27" s="391"/>
      <c r="EW27" s="391"/>
      <c r="EX27" s="391"/>
      <c r="EY27" s="391"/>
      <c r="EZ27" s="391"/>
      <c r="FA27" s="391"/>
      <c r="FB27" s="391"/>
      <c r="FC27" s="391"/>
      <c r="FD27" s="391"/>
      <c r="FE27" s="391"/>
      <c r="FF27" s="391"/>
      <c r="FG27" s="391"/>
      <c r="FH27" s="391"/>
      <c r="FI27" s="391"/>
      <c r="FJ27" s="391"/>
    </row>
    <row r="28" spans="1:166" s="392" customFormat="1" ht="75" x14ac:dyDescent="0.2">
      <c r="A28" s="2" t="s">
        <v>1153</v>
      </c>
      <c r="B28" s="4" t="s">
        <v>127</v>
      </c>
      <c r="C28" s="4" t="s">
        <v>113</v>
      </c>
      <c r="D28" s="4" t="s">
        <v>70</v>
      </c>
      <c r="E28" s="4" t="s">
        <v>121</v>
      </c>
      <c r="F28" s="397">
        <f>G28+H28</f>
        <v>2515.0665000000004</v>
      </c>
      <c r="G28" s="11"/>
      <c r="H28" s="11">
        <f>'3'!F805</f>
        <v>2515.0665000000004</v>
      </c>
      <c r="I28" s="397">
        <f>J28+K28</f>
        <v>5882.0349999999999</v>
      </c>
      <c r="J28" s="11"/>
      <c r="K28" s="11">
        <f>'[2]4'!H945</f>
        <v>5882.0349999999999</v>
      </c>
      <c r="L28" s="397">
        <f>M28+N28</f>
        <v>6117.6030000000001</v>
      </c>
      <c r="M28" s="11"/>
      <c r="N28" s="11">
        <f>'[2]4'!I945</f>
        <v>6117.6030000000001</v>
      </c>
    </row>
    <row r="29" spans="1:166" s="392" customFormat="1" ht="75" hidden="1" x14ac:dyDescent="0.2">
      <c r="A29" s="403" t="s">
        <v>1147</v>
      </c>
      <c r="B29" s="4" t="s">
        <v>127</v>
      </c>
      <c r="C29" s="4" t="s">
        <v>113</v>
      </c>
      <c r="D29" s="4"/>
      <c r="E29" s="4"/>
      <c r="F29" s="397"/>
      <c r="G29" s="407"/>
      <c r="H29" s="11"/>
      <c r="I29" s="397"/>
      <c r="J29" s="407"/>
      <c r="K29" s="11"/>
      <c r="L29" s="397"/>
      <c r="M29" s="407"/>
      <c r="N29" s="11"/>
    </row>
    <row r="30" spans="1:166" s="392" customFormat="1" ht="75" x14ac:dyDescent="0.2">
      <c r="A30" s="2" t="s">
        <v>1154</v>
      </c>
      <c r="B30" s="4" t="s">
        <v>127</v>
      </c>
      <c r="C30" s="4" t="s">
        <v>113</v>
      </c>
      <c r="D30" s="4" t="s">
        <v>51</v>
      </c>
      <c r="E30" s="4" t="s">
        <v>121</v>
      </c>
      <c r="F30" s="397">
        <f>G30+H30</f>
        <v>299.73</v>
      </c>
      <c r="G30" s="407"/>
      <c r="H30" s="11">
        <f>'3'!F810</f>
        <v>299.73</v>
      </c>
      <c r="I30" s="397">
        <f>J30+K30</f>
        <v>300</v>
      </c>
      <c r="J30" s="11"/>
      <c r="K30" s="11">
        <v>300</v>
      </c>
      <c r="L30" s="397">
        <f>M30+N30</f>
        <v>300</v>
      </c>
      <c r="M30" s="11"/>
      <c r="N30" s="11">
        <v>300</v>
      </c>
    </row>
    <row r="31" spans="1:166" x14ac:dyDescent="0.2">
      <c r="A31" s="10" t="s">
        <v>132</v>
      </c>
      <c r="B31" s="358"/>
      <c r="C31" s="358"/>
      <c r="D31" s="358"/>
      <c r="E31" s="358"/>
      <c r="F31" s="408">
        <f>F15+F23+F25+F18+F20+F28+F30</f>
        <v>14725.164630000001</v>
      </c>
      <c r="G31" s="409">
        <f t="shared" ref="G31:N31" si="0">G15+G23+G25+G18+G20+G28+G30</f>
        <v>2332</v>
      </c>
      <c r="H31" s="409">
        <f t="shared" si="0"/>
        <v>12393.164630000001</v>
      </c>
      <c r="I31" s="408">
        <f t="shared" si="0"/>
        <v>22134.890009999999</v>
      </c>
      <c r="J31" s="409">
        <f t="shared" si="0"/>
        <v>1200</v>
      </c>
      <c r="K31" s="409">
        <f t="shared" si="0"/>
        <v>20934.890009999999</v>
      </c>
      <c r="L31" s="408">
        <f t="shared" si="0"/>
        <v>22022.05788</v>
      </c>
      <c r="M31" s="409">
        <f t="shared" si="0"/>
        <v>1200</v>
      </c>
      <c r="N31" s="357">
        <f t="shared" si="0"/>
        <v>20822.05788</v>
      </c>
    </row>
    <row r="32" spans="1:166" x14ac:dyDescent="0.25">
      <c r="F32" s="410"/>
      <c r="G32" s="411"/>
    </row>
    <row r="33" spans="1:8" ht="15" x14ac:dyDescent="0.2">
      <c r="A33" s="412"/>
      <c r="B33" s="412"/>
      <c r="C33" s="413"/>
      <c r="D33" s="413"/>
      <c r="E33" s="413"/>
      <c r="F33" s="414"/>
      <c r="G33" s="415"/>
      <c r="H33" s="414"/>
    </row>
    <row r="34" spans="1:8" x14ac:dyDescent="0.25">
      <c r="D34" s="458"/>
      <c r="E34" s="458"/>
      <c r="F34" s="458"/>
      <c r="G34" s="415"/>
    </row>
  </sheetData>
  <mergeCells count="22">
    <mergeCell ref="D34:F34"/>
    <mergeCell ref="F4:H4"/>
    <mergeCell ref="L4:N4"/>
    <mergeCell ref="A6:N6"/>
    <mergeCell ref="A7:N8"/>
    <mergeCell ref="A10:A11"/>
    <mergeCell ref="B10:B11"/>
    <mergeCell ref="C10:C11"/>
    <mergeCell ref="D10:D11"/>
    <mergeCell ref="E10:E11"/>
    <mergeCell ref="F10:F11"/>
    <mergeCell ref="G10:H10"/>
    <mergeCell ref="I10:I11"/>
    <mergeCell ref="J10:K10"/>
    <mergeCell ref="L10:L11"/>
    <mergeCell ref="M10:N10"/>
    <mergeCell ref="F1:H1"/>
    <mergeCell ref="L1:N1"/>
    <mergeCell ref="F2:H2"/>
    <mergeCell ref="L2:N2"/>
    <mergeCell ref="F3:H3"/>
    <mergeCell ref="L3:N3"/>
  </mergeCell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1 </vt:lpstr>
      <vt:lpstr>2  </vt:lpstr>
      <vt:lpstr>3</vt:lpstr>
      <vt:lpstr>4</vt:lpstr>
      <vt:lpstr>5</vt:lpstr>
      <vt:lpstr>6</vt:lpstr>
      <vt:lpstr>'1 '!Область_печати</vt:lpstr>
      <vt:lpstr>'2  '!Область_печати</vt:lpstr>
      <vt:lpstr>'3'!Область_печати</vt:lpstr>
      <vt:lpstr>'4'!Область_печати</vt:lpstr>
      <vt:lpstr>'5'!Область_печати</vt:lpstr>
    </vt:vector>
  </TitlesOfParts>
  <Company>fin540</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wert</dc:creator>
  <cp:lastModifiedBy>Пользователь Windows</cp:lastModifiedBy>
  <cp:lastPrinted>2024-12-10T01:48:36Z</cp:lastPrinted>
  <dcterms:created xsi:type="dcterms:W3CDTF">2008-10-27T01:25:53Z</dcterms:created>
  <dcterms:modified xsi:type="dcterms:W3CDTF">2024-12-11T00:45:17Z</dcterms:modified>
</cp:coreProperties>
</file>