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0" windowWidth="8385" windowHeight="5085" tabRatio="848" activeTab="5"/>
  </bookViews>
  <sheets>
    <sheet name="1" sheetId="1" r:id="rId1"/>
    <sheet name="2" sheetId="2" r:id="rId2"/>
    <sheet name="3" sheetId="3" r:id="rId3"/>
    <sheet name="4" sheetId="4" r:id="rId4"/>
    <sheet name="5" sheetId="5" r:id="rId5"/>
    <sheet name="6" sheetId="6" r:id="rId6"/>
  </sheets>
  <definedNames>
    <definedName name="_xlnm.Print_Titles" localSheetId="1">'2'!$8:$9</definedName>
    <definedName name="_xlnm.Print_Area" localSheetId="0">'1'!$A$1:$C$21</definedName>
    <definedName name="_xlnm.Print_Area" localSheetId="1">'2'!$A$1:$F$103</definedName>
    <definedName name="_xlnm.Print_Area" localSheetId="2">'3'!$A$1:$H$651</definedName>
    <definedName name="_xlnm.Print_Area" localSheetId="3">'4'!$A$1:$I$681</definedName>
    <definedName name="_xlnm.Print_Area" localSheetId="4">'5'!$A$1:$D$234</definedName>
    <definedName name="_xlnm.Print_Area" localSheetId="5">'6'!$A$1:$N$31</definedName>
  </definedNames>
  <calcPr fullCalcOnLoad="1"/>
</workbook>
</file>

<file path=xl/sharedStrings.xml><?xml version="1.0" encoding="utf-8"?>
<sst xmlns="http://schemas.openxmlformats.org/spreadsheetml/2006/main" count="7838" uniqueCount="946">
  <si>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</si>
  <si>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</si>
  <si>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</si>
  <si>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</si>
  <si>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</si>
  <si>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</si>
  <si>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</si>
  <si>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</si>
  <si>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7952200</t>
  </si>
  <si>
    <t>Муниципальная программа "Создание многофункционального центра предоставления государственных и муниципальных услуг Кировского муниципального района на 2014-2015 годы"</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</si>
  <si>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</si>
  <si>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</si>
  <si>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</si>
  <si>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</si>
  <si>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</si>
  <si>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</si>
  <si>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</si>
  <si>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</si>
  <si>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</si>
  <si>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</si>
  <si>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</si>
  <si>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</si>
  <si>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</si>
  <si>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</si>
  <si>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</si>
  <si>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</si>
  <si>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</si>
  <si>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</si>
  <si>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</si>
  <si>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</si>
  <si>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</si>
  <si>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</si>
  <si>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</si>
  <si>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</si>
  <si>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</si>
  <si>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</si>
  <si>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</si>
  <si>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</si>
  <si>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</si>
  <si>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</si>
  <si>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</si>
  <si>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</si>
  <si>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</si>
  <si>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</si>
  <si>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</si>
  <si>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</si>
  <si>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</si>
  <si>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</si>
  <si>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</si>
  <si>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</si>
  <si>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</si>
  <si>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</si>
  <si>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</si>
  <si>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</si>
  <si>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</si>
  <si>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</si>
  <si>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</si>
  <si>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</si>
  <si>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</si>
  <si>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</si>
  <si>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</si>
  <si>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</si>
  <si>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</si>
  <si>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</si>
  <si>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</si>
  <si>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</si>
  <si>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</si>
  <si>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</si>
  <si>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</si>
  <si>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</si>
  <si>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</si>
  <si>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</si>
  <si>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</si>
  <si>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</si>
  <si>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</si>
  <si>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</si>
  <si>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</si>
  <si>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</si>
  <si>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</si>
  <si>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</si>
  <si>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</si>
  <si>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</si>
  <si>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</si>
  <si>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</si>
  <si>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</si>
  <si>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</si>
  <si>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</si>
  <si>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</si>
  <si>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</si>
  <si>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</si>
  <si>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</si>
  <si>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</si>
  <si>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</si>
  <si>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</si>
  <si>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</si>
  <si>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</si>
  <si>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</si>
  <si>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</si>
  <si>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</si>
  <si>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</si>
  <si>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</si>
  <si>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</si>
  <si>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</si>
  <si>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</si>
  <si>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</si>
  <si>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</si>
  <si>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</si>
  <si>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</si>
  <si>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</si>
  <si>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</si>
  <si>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</si>
  <si>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</si>
  <si>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</si>
  <si>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</si>
  <si>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</si>
  <si>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</si>
  <si>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</si>
  <si>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</si>
  <si>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</si>
  <si>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</si>
  <si>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</si>
  <si>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Иные межбюджетные трансферты (переданные полномочия поселений по дорогам)</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</si>
  <si>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</si>
  <si>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</si>
  <si>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</si>
  <si>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</si>
  <si>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</si>
  <si>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</si>
  <si>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</si>
  <si>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</si>
  <si>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</si>
  <si>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</si>
  <si>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</si>
  <si>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</si>
  <si>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</si>
  <si>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</si>
  <si>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Муниципальная программа "Создание многофункционального центра предоставления государственных и муниципальныхь услуг Кировского муниципального района на 2015-2016 годы"</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</si>
  <si>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</si>
  <si>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</si>
  <si>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</si>
  <si>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</si>
  <si>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</si>
  <si>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</si>
  <si>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</si>
  <si>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</si>
  <si>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</si>
  <si>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</si>
  <si>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</si>
  <si>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</si>
  <si>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</si>
  <si>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</si>
  <si>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</si>
  <si>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</si>
  <si>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</si>
  <si>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</si>
  <si>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</si>
  <si>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</si>
  <si>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</si>
  <si>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</si>
  <si>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</si>
  <si>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Непрограммные направления деятельности органов местного самоуправления ( КСК)</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</si>
  <si>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</si>
  <si>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</si>
  <si>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</si>
  <si>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</si>
  <si>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</si>
  <si>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</si>
  <si>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</si>
  <si>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</si>
  <si>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</si>
  <si>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</si>
  <si>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</si>
  <si>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</si>
  <si>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</si>
  <si>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</si>
  <si>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</si>
  <si>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</si>
  <si>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</si>
  <si>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</si>
  <si>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</si>
  <si>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</si>
  <si>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</si>
  <si>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</si>
  <si>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</si>
  <si>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</si>
  <si>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</si>
  <si>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</si>
  <si>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</si>
  <si>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</si>
  <si>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</si>
  <si>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</si>
  <si>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</si>
  <si>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</si>
  <si>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</si>
  <si>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</si>
  <si>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</si>
  <si>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</si>
  <si>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</si>
  <si>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</si>
  <si>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</si>
  <si>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</si>
  <si>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</si>
  <si>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</si>
  <si>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</si>
  <si>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</si>
  <si>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</si>
  <si>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</si>
  <si>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</si>
  <si>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</si>
  <si>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</si>
  <si>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</si>
  <si>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</si>
  <si>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</si>
  <si>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</si>
  <si>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</si>
  <si>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7952100</t>
  </si>
  <si>
    <t>7952110</t>
  </si>
  <si>
    <t>Подпрограмма № 1 "Развитие и поддержка клубов"</t>
  </si>
  <si>
    <t>Мероприятия по развитию и поддержке клубов</t>
  </si>
  <si>
    <t>7952111</t>
  </si>
  <si>
    <t>7952112</t>
  </si>
  <si>
    <t>Мероприятия по развитию и поддержке библиотек</t>
  </si>
  <si>
    <t>7952121</t>
  </si>
  <si>
    <t>Подпрограмма № 3 "Развитие и поддержка  музеев"</t>
  </si>
  <si>
    <t>7952130</t>
  </si>
  <si>
    <t>Мероприятия по развитию и поддержке музеев</t>
  </si>
  <si>
    <t>7952131</t>
  </si>
  <si>
    <t>7952132</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</si>
  <si>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</si>
  <si>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</si>
  <si>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</si>
  <si>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</si>
  <si>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</si>
  <si>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</si>
  <si>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</si>
  <si>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</si>
  <si>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</si>
  <si>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</si>
  <si>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</si>
  <si>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</si>
  <si>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</si>
  <si>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</si>
  <si>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</si>
  <si>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</si>
  <si>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</si>
  <si>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</si>
  <si>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</si>
  <si>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</si>
  <si>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</si>
  <si>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</si>
  <si>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</si>
  <si>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</si>
  <si>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</si>
  <si>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</si>
  <si>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</si>
  <si>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</si>
  <si>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</si>
  <si>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</si>
  <si>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</si>
  <si>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</si>
  <si>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</si>
  <si>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</si>
  <si>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</si>
  <si>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</si>
  <si>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</si>
  <si>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</si>
  <si>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</si>
  <si>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</si>
  <si>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</si>
  <si>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</si>
  <si>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</si>
  <si>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</si>
  <si>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</si>
  <si>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</si>
  <si>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</si>
  <si>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</si>
  <si>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</si>
  <si>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</si>
  <si>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</si>
  <si>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</si>
  <si>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</si>
  <si>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</si>
  <si>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</si>
  <si>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</si>
  <si>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</si>
  <si>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</si>
  <si>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</si>
  <si>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</si>
  <si>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</si>
  <si>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</si>
  <si>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</si>
  <si>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</si>
  <si>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</si>
  <si>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</si>
  <si>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</si>
  <si>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</si>
  <si>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</si>
  <si>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</si>
  <si>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</si>
  <si>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</si>
  <si>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</si>
  <si>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</si>
  <si>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</si>
  <si>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</si>
  <si>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</si>
  <si>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</si>
  <si>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</si>
  <si>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</si>
  <si>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</si>
  <si>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</si>
  <si>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</si>
  <si>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</si>
  <si>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</si>
  <si>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</si>
  <si>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</si>
  <si>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 входящих в их состав </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</si>
  <si>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</si>
  <si>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</si>
  <si>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</si>
  <si>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</si>
  <si>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</si>
  <si>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</si>
  <si>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</si>
  <si>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7950122000</t>
  </si>
  <si>
    <t>Межбюджетные трансферты,передаваемые бюджетам муниципальных районов на комплектование книжных фондов библиотек муниципального образования</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</si>
  <si>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</si>
  <si>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</si>
  <si>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</si>
  <si>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1 11 07015 05 0000 120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</si>
  <si>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</si>
  <si>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</si>
  <si>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</si>
  <si>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</si>
  <si>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</si>
  <si>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</si>
  <si>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</si>
  <si>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</si>
  <si>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</si>
  <si>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</si>
  <si>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Субсидии бюджетным учреждениям  (МБУ "КДЦ")</t>
  </si>
  <si>
    <t>Субсидии бюджетным учреждениям (МБУ "КДЦ")</t>
  </si>
  <si>
    <t>Иные межбюджетные трансферты на комплектование книжных фондов библиотек муниципальных образований</t>
  </si>
  <si>
    <t>Создание многофункционального центра</t>
  </si>
  <si>
    <t>Дотации бюджетам муниципальных районов на поддержку мер по обеспечению сбалансированности бюджетов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</si>
  <si>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</si>
  <si>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</si>
  <si>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</si>
  <si>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</si>
  <si>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</si>
  <si>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</si>
  <si>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</si>
  <si>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</si>
  <si>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</si>
  <si>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</si>
  <si>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</si>
  <si>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</si>
  <si>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</si>
  <si>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</si>
  <si>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</si>
  <si>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</si>
  <si>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</si>
  <si>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</si>
  <si>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</si>
  <si>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</si>
  <si>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</si>
  <si>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</si>
  <si>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</si>
  <si>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</si>
  <si>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</si>
  <si>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</si>
  <si>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</si>
  <si>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</si>
  <si>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</si>
  <si>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</si>
  <si>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</si>
  <si>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</si>
  <si>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</si>
  <si>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</si>
  <si>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</si>
  <si>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</si>
  <si>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</si>
  <si>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</si>
  <si>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</si>
  <si>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</si>
  <si>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</si>
  <si>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</si>
  <si>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</si>
  <si>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</si>
  <si>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</si>
  <si>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</si>
  <si>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</si>
  <si>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</si>
  <si>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</si>
  <si>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</si>
  <si>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</si>
  <si>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</si>
  <si>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</si>
  <si>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</si>
  <si>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</si>
  <si>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</si>
  <si>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</si>
  <si>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</si>
  <si>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</si>
  <si>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</si>
  <si>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</si>
  <si>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</si>
  <si>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</si>
  <si>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</si>
  <si>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</si>
  <si>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</si>
  <si>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</si>
  <si>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</si>
  <si>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</si>
  <si>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</si>
  <si>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</si>
  <si>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</si>
  <si>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</si>
  <si>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</si>
  <si>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</si>
  <si>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</si>
  <si>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</si>
  <si>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</si>
  <si>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</si>
  <si>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</si>
  <si>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</si>
  <si>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</si>
  <si>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</si>
  <si>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</si>
  <si>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автономных учреждений, а так же имущества муниципальных унитарных предприятий, в том числе казенных)</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</si>
  <si>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</si>
  <si>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</si>
  <si>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</si>
  <si>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</si>
  <si>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</si>
  <si>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</si>
  <si>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</si>
  <si>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</si>
  <si>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</si>
  <si>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</si>
  <si>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</si>
  <si>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</si>
  <si>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</si>
  <si>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</si>
  <si>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</si>
  <si>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</si>
  <si>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</si>
  <si>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</si>
  <si>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</si>
  <si>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</si>
  <si>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</si>
  <si>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</si>
  <si>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</si>
  <si>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</si>
  <si>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</si>
  <si>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</si>
  <si>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</si>
  <si>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</si>
  <si>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2 02 15001 05 0000 151</t>
  </si>
  <si>
    <t>811</t>
  </si>
  <si>
    <t>2 02 20000 00 0000 151</t>
  </si>
  <si>
    <t>Приложение № 2</t>
  </si>
  <si>
    <t>9990051200</t>
  </si>
  <si>
    <t>Подпрограмма № 6 «Организация отдыха  детей»</t>
  </si>
  <si>
    <t>Подпрограмма № 8 "Молодежь Кировского района"</t>
  </si>
  <si>
    <t>0800092070</t>
  </si>
  <si>
    <t>3  02 40014 05 0000 151</t>
  </si>
  <si>
    <t>4  02 40014 05 0000 151</t>
  </si>
  <si>
    <t>5  02 40014 05 0000 151</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</si>
  <si>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</si>
  <si>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</si>
  <si>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</si>
  <si>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</si>
  <si>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</si>
  <si>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</si>
  <si>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</si>
  <si>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</si>
  <si>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</si>
  <si>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</si>
  <si>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</si>
  <si>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</si>
  <si>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</si>
  <si>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</si>
  <si>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</si>
  <si>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</si>
  <si>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</si>
  <si>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</si>
  <si>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</si>
  <si>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</si>
  <si>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</si>
  <si>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</si>
  <si>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</si>
  <si>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</si>
  <si>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</si>
  <si>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</si>
  <si>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</si>
  <si>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</si>
  <si>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</si>
  <si>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</si>
  <si>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</si>
  <si>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</si>
  <si>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</si>
  <si>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</si>
  <si>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</si>
  <si>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</si>
  <si>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</si>
  <si>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</si>
  <si>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</si>
  <si>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</si>
  <si>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</si>
  <si>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Мероприятия гос.программы РФ "Доступная среда "на 2011-2020 годы (МБУ "КДЦ"</t>
  </si>
  <si>
    <t>1 14 06013 13 0000 430</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</si>
  <si>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</si>
  <si>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</si>
  <si>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</si>
  <si>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</si>
  <si>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</si>
  <si>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</si>
  <si>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</si>
  <si>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</si>
  <si>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Общий объем на 2021 г.</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</si>
  <si>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</si>
  <si>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</si>
  <si>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</si>
  <si>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</si>
  <si>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</si>
  <si>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</si>
  <si>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</si>
  <si>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</si>
  <si>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</si>
  <si>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</si>
  <si>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</si>
  <si>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</si>
  <si>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</si>
  <si>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</si>
  <si>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</si>
  <si>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</si>
  <si>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</si>
  <si>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</si>
  <si>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</si>
  <si>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</si>
  <si>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</si>
  <si>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</si>
  <si>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</si>
  <si>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</si>
  <si>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</si>
  <si>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</si>
  <si>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</si>
  <si>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Общий объем на 2021 г</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</si>
  <si>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</si>
  <si>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1 14 06025 05 0000 430</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</si>
  <si>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</si>
  <si>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</si>
  <si>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</si>
  <si>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</si>
  <si>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</si>
  <si>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</si>
  <si>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</si>
  <si>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</si>
  <si>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</si>
  <si>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</si>
  <si>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</si>
  <si>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</si>
  <si>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</si>
  <si>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</si>
  <si>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</si>
  <si>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</si>
  <si>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</si>
  <si>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</si>
  <si>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</si>
  <si>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</si>
  <si>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</si>
  <si>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</si>
  <si>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</si>
  <si>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</si>
  <si>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</si>
  <si>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</si>
  <si>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</si>
  <si>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</si>
  <si>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</si>
  <si>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</si>
  <si>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</si>
  <si>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</si>
  <si>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</si>
  <si>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</si>
  <si>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</si>
  <si>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</si>
  <si>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</si>
  <si>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</si>
  <si>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</si>
  <si>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</si>
  <si>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</si>
  <si>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</si>
  <si>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</si>
  <si>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</si>
  <si>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</si>
  <si>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</si>
  <si>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</si>
  <si>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</si>
  <si>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</si>
  <si>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</si>
  <si>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</si>
  <si>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</si>
  <si>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</si>
  <si>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</si>
  <si>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</si>
  <si>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</si>
  <si>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</si>
  <si>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</si>
  <si>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</si>
  <si>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</si>
  <si>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</si>
  <si>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</si>
  <si>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</si>
  <si>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</si>
  <si>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</si>
  <si>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</si>
  <si>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</si>
  <si>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</si>
  <si>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</si>
  <si>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</si>
  <si>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</si>
  <si>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</si>
  <si>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</si>
  <si>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</si>
  <si>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</si>
  <si>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</si>
  <si>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</si>
  <si>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</si>
  <si>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</si>
  <si>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</si>
  <si>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</si>
  <si>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</si>
  <si>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</si>
  <si>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</si>
  <si>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</si>
  <si>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</si>
  <si>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</si>
  <si>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</si>
  <si>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</si>
  <si>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</si>
  <si>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</si>
  <si>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 же средства от продажи права на заключение договоров аренды указанных участков</t>
  </si>
  <si>
    <t>1 13 02065 05 0000 130</t>
  </si>
  <si>
    <t>Доходы, поступающие в порядке возмещения расходов, понесенных в связи с эксплуатацией имущества муниципальных районов</t>
  </si>
  <si>
    <t>2 02 15000 00 0000 150</t>
  </si>
  <si>
    <t>2 02 29999 05 0000 150</t>
  </si>
  <si>
    <t>Субсидии                                                                                                             
из краевого бюджета бюджетам муниципальных образований Приморского края на развитие спортивной инфраструктуры, находящейся в муниципальной собственности</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</si>
  <si>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</si>
  <si>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</si>
  <si>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</si>
  <si>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</si>
  <si>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</si>
  <si>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</si>
  <si>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Налог, взимаемый в связи с применением упрощенной системы налогообложения</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</si>
  <si>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</si>
  <si>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</si>
  <si>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</si>
  <si>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2 02 25467 05 0000 150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</si>
  <si>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</si>
  <si>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</si>
  <si>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</si>
  <si>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Разница</t>
  </si>
  <si>
    <t>Субсидии бюджетам муниципальных образований Приморского края на капитальный ремонт оздоровительных лагерей, находящихся в собственности муниципальных образований</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</si>
  <si>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</si>
  <si>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</si>
  <si>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</si>
  <si>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</si>
  <si>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</si>
  <si>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</si>
  <si>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</si>
  <si>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</si>
  <si>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</si>
  <si>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</si>
  <si>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</si>
  <si>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</si>
  <si>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</si>
  <si>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</si>
  <si>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</si>
  <si>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</si>
  <si>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</si>
  <si>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</si>
  <si>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</si>
  <si>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</si>
  <si>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</si>
  <si>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</si>
  <si>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</si>
  <si>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</si>
  <si>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</si>
  <si>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</si>
  <si>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</si>
  <si>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</si>
  <si>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</si>
  <si>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</si>
  <si>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</si>
  <si>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</si>
  <si>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</si>
  <si>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</si>
  <si>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</si>
  <si>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</si>
  <si>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</si>
  <si>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</si>
  <si>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</si>
  <si>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</si>
  <si>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</si>
  <si>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</si>
  <si>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t>
  </si>
  <si>
    <t>202 35260 05 0000 150</t>
  </si>
  <si>
    <t>Меры социальной поддержки детей, оставшихся без попечения родителей, и лиц, принявших на воспитание в семью детей, оставшихся без попечения родителей</t>
  </si>
  <si>
    <t>Меры социальной поддержки педагогическим работникам муниципальных образовательных организаций Кировского муниципального района</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</si>
  <si>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</si>
  <si>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</si>
  <si>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</si>
  <si>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</si>
  <si>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</si>
  <si>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</si>
  <si>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</si>
  <si>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</si>
  <si>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</si>
  <si>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Субсидии бюджетам муниципальных образований Приморского края на обеспечение граждан твердым топливом</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</si>
  <si>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</si>
  <si>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</si>
  <si>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</si>
  <si>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</si>
  <si>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</si>
  <si>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</si>
  <si>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</si>
  <si>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</si>
  <si>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</si>
  <si>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</si>
  <si>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</si>
  <si>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</si>
  <si>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</si>
  <si>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</si>
  <si>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</si>
  <si>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Субвенции для финансового обеспечения переданных исполнительно-распорядительным органам муниципальных образований Приморского края государственных полномочий по составлению (изменению) списков кандидатов  в присяжные заседатели федеральных судов общей юрисдикции</t>
  </si>
  <si>
    <t>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t>
  </si>
  <si>
    <t>Субвенции бюджетам муниципальных образований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</si>
  <si>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муниципальных образований Приморского края на организацию и обеспечение оздоровления и отдыха детей Приморского края (за исключением организации отдыха детей в каникулярное время)</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</si>
  <si>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</si>
  <si>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</si>
  <si>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</si>
  <si>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</si>
  <si>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</si>
  <si>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</si>
  <si>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</si>
  <si>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2  02 49999 05 0000 150</t>
  </si>
  <si>
    <t xml:space="preserve">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 а также в информировании граждан Российской Федерации о такой подготовке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</si>
  <si>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</si>
  <si>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</si>
  <si>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</si>
  <si>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</si>
  <si>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</si>
  <si>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Содействие в подготовке проведения общероссийского  голосования (местный бюджет)</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</si>
  <si>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</si>
  <si>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</si>
  <si>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</si>
  <si>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</si>
  <si>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</si>
  <si>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</si>
  <si>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</si>
  <si>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</si>
  <si>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</si>
  <si>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</si>
  <si>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</si>
  <si>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</si>
  <si>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</si>
  <si>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</si>
  <si>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спорта(краевой бюджет)</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</si>
  <si>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1"/>
        <rFont val="Times New Roman"/>
        <family val="1"/>
      </rPr>
      <t>(краевой бюджет)</t>
    </r>
  </si>
  <si>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</si>
  <si>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</si>
  <si>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</si>
  <si>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</si>
  <si>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</si>
  <si>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Прочие субсидии бюджетам муниципальных районов
</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</si>
  <si>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</si>
  <si>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</si>
  <si>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</si>
  <si>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Субсидии бюджетам муниципальных образований Приморского края на организацию физкультурно-спортивной работы по месту жительства </t>
  </si>
  <si>
    <t>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</si>
  <si>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</si>
  <si>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</si>
  <si>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</si>
  <si>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</si>
  <si>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</si>
  <si>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</si>
  <si>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</si>
  <si>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</si>
  <si>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</si>
  <si>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</si>
  <si>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</si>
  <si>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</si>
  <si>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01100R3041</t>
  </si>
  <si>
    <t>0110053030</t>
  </si>
  <si>
    <t xml:space="preserve">Объемы доходов районного бюджета на  2021 год 
</t>
  </si>
  <si>
    <t>1 05 01000 01 0000 110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</si>
  <si>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</si>
  <si>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бюджетных ассигнований на исполнение публичных нормативных обязательств на 2021-2023  годы  по разделам</t>
  </si>
  <si>
    <t>Распределение бюджетных ассигнований из районного бюджета на 2021 год по муниципальным программам Кировского  муниципального района и непрограммным направлениям деятельности</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</si>
  <si>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</si>
  <si>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</si>
  <si>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</si>
  <si>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</si>
  <si>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</si>
  <si>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</si>
  <si>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</si>
  <si>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</si>
  <si>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уточнить</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</si>
  <si>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</si>
  <si>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</si>
  <si>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</si>
  <si>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955</t>
  </si>
  <si>
    <t>956</t>
  </si>
  <si>
    <t>957</t>
  </si>
  <si>
    <t>958</t>
  </si>
  <si>
    <t>963</t>
  </si>
  <si>
    <t>971</t>
  </si>
  <si>
    <t>974</t>
  </si>
  <si>
    <t>978</t>
  </si>
  <si>
    <t>979</t>
  </si>
  <si>
    <t>980</t>
  </si>
  <si>
    <t>983</t>
  </si>
  <si>
    <t>984</t>
  </si>
  <si>
    <t>985</t>
  </si>
  <si>
    <t>986</t>
  </si>
  <si>
    <t>987</t>
  </si>
  <si>
    <t>988</t>
  </si>
  <si>
    <t>989</t>
  </si>
  <si>
    <t>990</t>
  </si>
  <si>
    <t>991</t>
  </si>
  <si>
    <t>992</t>
  </si>
  <si>
    <t>993</t>
  </si>
  <si>
    <t>994</t>
  </si>
  <si>
    <t>995</t>
  </si>
  <si>
    <t>996</t>
  </si>
  <si>
    <t>997</t>
  </si>
  <si>
    <t>998</t>
  </si>
  <si>
    <t>999</t>
  </si>
  <si>
    <t>1000</t>
  </si>
  <si>
    <t>1001</t>
  </si>
  <si>
    <t>1004</t>
  </si>
  <si>
    <t>1007</t>
  </si>
  <si>
    <t>1008</t>
  </si>
  <si>
    <t>1015</t>
  </si>
  <si>
    <t>1020</t>
  </si>
  <si>
    <t>1025</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</si>
  <si>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</si>
  <si>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</si>
  <si>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Источники внутреннего финансирования дефицита районного бюджета на 2021 год </t>
  </si>
  <si>
    <t>Сумма на 2021 г.</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</si>
  <si>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</si>
  <si>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2021 год в ведомственной структуре расходов районного бюджета </t>
  </si>
  <si>
    <t xml:space="preserve">бюджетных ассигнований из районного бюджета на 2021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</si>
  <si>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</si>
  <si>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</si>
  <si>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Сумма на 
2021 год (первое чтение)</t>
  </si>
  <si>
    <t xml:space="preserve">Субсидии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t>
  </si>
  <si>
    <t>2 02 35469 05 0000 150</t>
  </si>
  <si>
    <t>Субвенции на проведение Всероссийской переписи населения</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</si>
  <si>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</si>
  <si>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</si>
  <si>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</si>
  <si>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</si>
  <si>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</si>
  <si>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</si>
  <si>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</si>
  <si>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</si>
  <si>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</si>
  <si>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</si>
  <si>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</si>
  <si>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</si>
  <si>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Мероприятия по развитию и поддержке внешкольного образования МБУ ДОД "ДЮЦ" (наказы избирателей)</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</si>
  <si>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</si>
  <si>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</si>
  <si>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</si>
  <si>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</si>
  <si>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Муниципальная программа "ССоциальная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</si>
  <si>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 xml:space="preserve">Сумма на 
2021 год </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</si>
  <si>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</si>
  <si>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2 02 36900 05 0000 150</t>
  </si>
  <si>
    <t>Единая субвенция бюджетам муниципальных районов из бюджета субъекта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</si>
  <si>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 же средства от продажи права на заключение договоров аренды указанных участков</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</si>
  <si>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</si>
  <si>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</si>
  <si>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</si>
  <si>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</si>
  <si>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</si>
  <si>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</si>
  <si>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</si>
  <si>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</si>
  <si>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</si>
  <si>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</si>
  <si>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</si>
  <si>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Приложение № 4</t>
  </si>
  <si>
    <t xml:space="preserve">                                                                                             Приложение  № 5</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</si>
  <si>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</si>
  <si>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</si>
  <si>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</si>
  <si>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</si>
  <si>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</si>
  <si>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</si>
  <si>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</si>
  <si>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</si>
  <si>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</si>
  <si>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</si>
  <si>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</si>
  <si>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</si>
  <si>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</si>
  <si>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</si>
  <si>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</si>
  <si>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</si>
  <si>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</si>
  <si>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</si>
  <si>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</si>
  <si>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3 02 29999 05 0000 150</t>
  </si>
  <si>
    <t>4 02 29999 05 0000 150</t>
  </si>
  <si>
    <t>Субсидии  из краевого бюджета бюджетам муниципальных образований Приморского края на укрепление материально-технической базы муниципальных домов культуры</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</si>
  <si>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</si>
  <si>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</si>
  <si>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</si>
  <si>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</si>
  <si>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</si>
  <si>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</si>
  <si>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</si>
  <si>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</si>
  <si>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</si>
  <si>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4 02 30024 05 0000 150</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</si>
  <si>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</si>
  <si>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</si>
  <si>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</si>
  <si>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</si>
  <si>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</si>
  <si>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</si>
  <si>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</si>
  <si>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 xml:space="preserve">Возмещение специализированным службам по вопросам похоронного дела стоимости услуг по погребению умерших, не подлежащих обязат.соцстрахованию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</si>
  <si>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0300030364</t>
  </si>
  <si>
    <t>0300030365</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</si>
  <si>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обязат.соцстрахованию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</si>
  <si>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Приложение  № 6</t>
  </si>
  <si>
    <t>Субсидии бюджетным учреждениям (МБОУ ДО "ДЮСШ "Патриот" п. Кировский,МБОУ ДОД ДЮЦ)</t>
  </si>
  <si>
    <t xml:space="preserve">от 26.08.2021 г. № 38 -НПА </t>
  </si>
  <si>
    <t xml:space="preserve">от 26.08.2021г. № 38-НПА </t>
  </si>
  <si>
    <t xml:space="preserve">от  26.08.2021г. № 38-НПА  </t>
  </si>
  <si>
    <t xml:space="preserve">от 26.08.2021 г. № 38-НПА </t>
  </si>
  <si>
    <t xml:space="preserve">от 28.06.2021 г. № 38-НПА </t>
  </si>
  <si>
    <t xml:space="preserve">от 28.06.2021г. № 38-НПА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</si>
</sst>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83">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b/>
      <sz val="9"/>
      <name val="Times New Roman"/>
      <family val="1"/>
    </font>
    <font>
      <i/>
      <sz val="12"/>
      <name val="Times New Roman"/>
      <family val="1"/>
    </font>
    <font>
      <i/>
      <sz val="10"/>
      <name val="Arial Cyr"/>
      <family val="0"/>
    </font>
    <font>
      <b/>
      <sz val="9"/>
      <name val="Arial Cyr"/>
      <family val="0"/>
    </font>
    <font>
      <sz val="11"/>
      <name val="Times New Roman CE"/>
      <family val="1"/>
    </font>
    <font>
      <i/>
      <sz val="11"/>
      <name val="Times New Roman"/>
      <family val="1"/>
    </font>
    <font>
      <sz val="8"/>
      <name val="Times New Roman"/>
      <family val="1"/>
    </font>
    <font>
      <b/>
      <i/>
      <sz val="10"/>
      <name val="Arial Cyr"/>
      <family val="0"/>
    </font>
    <font>
      <b/>
      <i/>
      <sz val="12"/>
      <name val="Times New Roman"/>
      <family val="1"/>
    </font>
    <font>
      <u val="single"/>
      <sz val="12"/>
      <name val="Times New Roman"/>
      <family val="1"/>
    </font>
    <font>
      <b/>
      <sz val="8"/>
      <name val="Arial Cyr"/>
      <family val="0"/>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rgb="FF0070C0"/>
      <name val="Times New Roman"/>
      <family val="1"/>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CFCCFC"/>
        <bgColor indexed="64"/>
      </patternFill>
    </fill>
    <fill>
      <patternFill patternType="solid">
        <fgColor rgb="FFFFFF99"/>
        <bgColor indexed="64"/>
      </patternFill>
    </fill>
    <fill>
      <patternFill patternType="solid">
        <fgColor indexed="41"/>
        <bgColor indexed="64"/>
      </patternFill>
    </fill>
    <fill>
      <patternFill patternType="solid">
        <fgColor rgb="FFFF0000"/>
        <bgColor indexed="64"/>
      </patternFill>
    </fill>
    <fill>
      <patternFill patternType="solid">
        <fgColor rgb="FFFFFF00"/>
        <bgColor indexed="64"/>
      </patternFill>
    </fill>
    <fill>
      <patternFill patternType="solid">
        <fgColor rgb="FFFFCCFF"/>
        <bgColor indexed="64"/>
      </patternFill>
    </fill>
    <fill>
      <patternFill patternType="solid">
        <fgColor rgb="FFFFC000"/>
        <bgColor indexed="64"/>
      </patternFill>
    </fill>
    <fill>
      <patternFill patternType="solid">
        <fgColor rgb="FFCCFFCC"/>
        <bgColor indexed="64"/>
      </patternFill>
    </fill>
    <fill>
      <patternFill patternType="solid">
        <fgColor indexed="13"/>
        <bgColor indexed="64"/>
      </patternFill>
    </fill>
    <fill>
      <patternFill patternType="solid">
        <fgColor indexed="65"/>
        <bgColor indexed="64"/>
      </patternFill>
    </fill>
    <fill>
      <patternFill patternType="solid">
        <fgColor theme="2"/>
        <bgColor indexed="64"/>
      </patternFill>
    </fill>
    <fill>
      <patternFill patternType="solid">
        <fgColor rgb="FFF8D4F5"/>
        <bgColor indexed="64"/>
      </patternFill>
    </fill>
    <fill>
      <patternFill patternType="solid">
        <fgColor rgb="FFC8FCCF"/>
        <bgColor indexed="64"/>
      </patternFill>
    </fill>
    <fill>
      <patternFill patternType="solid">
        <fgColor rgb="FFC2FEC6"/>
        <bgColor indexed="64"/>
      </patternFill>
    </fill>
    <fill>
      <patternFill patternType="solid">
        <fgColor rgb="FFCAF8FE"/>
        <bgColor indexed="64"/>
      </patternFill>
    </fill>
    <fill>
      <patternFill patternType="solid">
        <fgColor rgb="FFCCFFFF"/>
        <bgColor indexed="64"/>
      </patternFill>
    </fill>
    <fill>
      <patternFill patternType="solid">
        <fgColor rgb="FFFCF6AA"/>
        <bgColor indexed="64"/>
      </patternFill>
    </fill>
    <fill>
      <patternFill patternType="solid">
        <fgColor indexed="31"/>
        <bgColor indexed="64"/>
      </patternFill>
    </fill>
    <fill>
      <patternFill patternType="solid">
        <fgColor rgb="FFC4FBFC"/>
        <bgColor indexed="64"/>
      </patternFill>
    </fill>
    <fill>
      <patternFill patternType="solid">
        <fgColor rgb="FF0070C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0" fontId="68"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12"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80" fillId="32" borderId="0" applyNumberFormat="0" applyBorder="0" applyAlignment="0" applyProtection="0"/>
  </cellStyleXfs>
  <cellXfs count="669">
    <xf numFmtId="0" fontId="0" fillId="0" borderId="0" xfId="0" applyAlignment="1">
      <alignment/>
    </xf>
    <xf numFmtId="0" fontId="0" fillId="0" borderId="0" xfId="0" applyFont="1" applyAlignment="1">
      <alignment/>
    </xf>
    <xf numFmtId="0" fontId="8" fillId="0" borderId="0" xfId="0" applyFont="1" applyAlignment="1">
      <alignment/>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Alignment="1">
      <alignment horizontal="right"/>
    </xf>
    <xf numFmtId="0" fontId="3" fillId="0" borderId="0" xfId="0" applyFont="1" applyAlignment="1">
      <alignment/>
    </xf>
    <xf numFmtId="0" fontId="7" fillId="0" borderId="0" xfId="0" applyFont="1" applyAlignment="1">
      <alignment/>
    </xf>
    <xf numFmtId="0" fontId="3" fillId="0" borderId="0" xfId="0" applyFont="1" applyFill="1" applyAlignment="1">
      <alignment/>
    </xf>
    <xf numFmtId="0" fontId="3" fillId="0" borderId="0" xfId="0" applyFont="1" applyAlignment="1">
      <alignment horizontal="center"/>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0" fontId="1" fillId="0" borderId="0" xfId="0" applyFont="1" applyAlignment="1">
      <alignment/>
    </xf>
    <xf numFmtId="0" fontId="10" fillId="0" borderId="10" xfId="0" applyFont="1" applyFill="1" applyBorder="1" applyAlignment="1">
      <alignment horizontal="center" vertical="center" wrapText="1"/>
    </xf>
    <xf numFmtId="0" fontId="3" fillId="33" borderId="0" xfId="0" applyFont="1" applyFill="1" applyAlignment="1">
      <alignment/>
    </xf>
    <xf numFmtId="49" fontId="3" fillId="33"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0" fontId="18" fillId="33"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Alignment="1">
      <alignment horizontal="center"/>
    </xf>
    <xf numFmtId="49" fontId="3" fillId="34" borderId="10" xfId="0" applyNumberFormat="1" applyFont="1" applyFill="1" applyBorder="1" applyAlignment="1">
      <alignment horizontal="center" vertical="center" wrapText="1" shrinkToFit="1"/>
    </xf>
    <xf numFmtId="49" fontId="4" fillId="34" borderId="10" xfId="0" applyNumberFormat="1" applyFont="1" applyFill="1" applyBorder="1" applyAlignment="1">
      <alignment horizontal="center" vertical="center" wrapText="1" shrinkToFit="1"/>
    </xf>
    <xf numFmtId="0" fontId="3" fillId="33" borderId="0" xfId="0" applyFont="1" applyFill="1" applyAlignment="1">
      <alignment vertical="top"/>
    </xf>
    <xf numFmtId="0" fontId="10" fillId="0" borderId="0" xfId="0" applyFont="1" applyAlignment="1">
      <alignment/>
    </xf>
    <xf numFmtId="0" fontId="23" fillId="35" borderId="0" xfId="0" applyFont="1" applyFill="1" applyAlignment="1">
      <alignment/>
    </xf>
    <xf numFmtId="0" fontId="26" fillId="34" borderId="0" xfId="0" applyFont="1" applyFill="1" applyAlignment="1">
      <alignment/>
    </xf>
    <xf numFmtId="0" fontId="23" fillId="0" borderId="0" xfId="0" applyFont="1" applyAlignment="1">
      <alignment/>
    </xf>
    <xf numFmtId="0" fontId="27" fillId="0" borderId="0" xfId="0" applyFont="1" applyAlignment="1">
      <alignment/>
    </xf>
    <xf numFmtId="0" fontId="3" fillId="35" borderId="0" xfId="0" applyFont="1" applyFill="1" applyAlignment="1">
      <alignment/>
    </xf>
    <xf numFmtId="0" fontId="2" fillId="35" borderId="0" xfId="0" applyFont="1" applyFill="1" applyAlignment="1">
      <alignment/>
    </xf>
    <xf numFmtId="0" fontId="4" fillId="35" borderId="0" xfId="0" applyFont="1" applyFill="1" applyAlignment="1">
      <alignment/>
    </xf>
    <xf numFmtId="0" fontId="24" fillId="0" borderId="0" xfId="0" applyFont="1" applyAlignment="1">
      <alignment/>
    </xf>
    <xf numFmtId="0" fontId="10" fillId="0" borderId="10" xfId="0" applyFont="1" applyFill="1" applyBorder="1" applyAlignment="1">
      <alignment vertical="center" wrapText="1"/>
    </xf>
    <xf numFmtId="0" fontId="4" fillId="35" borderId="10" xfId="0" applyFont="1" applyFill="1" applyBorder="1" applyAlignment="1">
      <alignment vertical="center" wrapText="1"/>
    </xf>
    <xf numFmtId="0" fontId="2" fillId="0" borderId="0" xfId="0" applyFont="1" applyFill="1" applyBorder="1" applyAlignment="1">
      <alignment/>
    </xf>
    <xf numFmtId="0" fontId="2" fillId="0" borderId="0" xfId="0" applyFont="1" applyAlignment="1">
      <alignment/>
    </xf>
    <xf numFmtId="0" fontId="26" fillId="0" borderId="0" xfId="0" applyFont="1" applyFill="1" applyAlignment="1">
      <alignment/>
    </xf>
    <xf numFmtId="0" fontId="24" fillId="35" borderId="0" xfId="0" applyFont="1" applyFill="1" applyAlignment="1">
      <alignment/>
    </xf>
    <xf numFmtId="49" fontId="4" fillId="0" borderId="10" xfId="0" applyNumberFormat="1" applyFont="1" applyFill="1" applyBorder="1" applyAlignment="1">
      <alignment horizontal="center" vertical="center" wrapText="1" shrinkToFit="1"/>
    </xf>
    <xf numFmtId="0" fontId="10" fillId="33"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2" fontId="3" fillId="0" borderId="0" xfId="0" applyNumberFormat="1" applyFont="1" applyAlignment="1">
      <alignment/>
    </xf>
    <xf numFmtId="49" fontId="10" fillId="0" borderId="10" xfId="0" applyNumberFormat="1" applyFont="1" applyFill="1" applyBorder="1" applyAlignment="1">
      <alignment horizontal="center" vertical="center" wrapText="1" shrinkToFit="1"/>
    </xf>
    <xf numFmtId="0" fontId="3" fillId="33" borderId="10" xfId="0" applyFont="1" applyFill="1" applyBorder="1" applyAlignment="1">
      <alignment vertical="top" wrapText="1"/>
    </xf>
    <xf numFmtId="0" fontId="23" fillId="0" borderId="0" xfId="0" applyFont="1" applyFill="1" applyAlignment="1">
      <alignment/>
    </xf>
    <xf numFmtId="0" fontId="28" fillId="0" borderId="0" xfId="0" applyFont="1" applyFill="1" applyAlignment="1">
      <alignment/>
    </xf>
    <xf numFmtId="0" fontId="25" fillId="33" borderId="10" xfId="0" applyFont="1" applyFill="1" applyBorder="1" applyAlignment="1">
      <alignment vertical="top" wrapText="1"/>
    </xf>
    <xf numFmtId="49" fontId="29" fillId="33" borderId="10" xfId="0" applyNumberFormat="1" applyFont="1" applyFill="1" applyBorder="1" applyAlignment="1">
      <alignment horizontal="center" vertical="center" wrapText="1"/>
    </xf>
    <xf numFmtId="49" fontId="25" fillId="33" borderId="10" xfId="0" applyNumberFormat="1" applyFont="1" applyFill="1" applyBorder="1" applyAlignment="1">
      <alignment horizontal="center" vertical="center" wrapText="1" shrinkToFit="1"/>
    </xf>
    <xf numFmtId="49" fontId="3" fillId="0" borderId="10" xfId="0" applyNumberFormat="1" applyFont="1" applyBorder="1" applyAlignment="1">
      <alignment wrapText="1"/>
    </xf>
    <xf numFmtId="0" fontId="3" fillId="0" borderId="10" xfId="0" applyFont="1" applyFill="1" applyBorder="1" applyAlignment="1">
      <alignment vertical="center" wrapText="1"/>
    </xf>
    <xf numFmtId="49" fontId="25" fillId="0" borderId="10" xfId="0" applyNumberFormat="1" applyFont="1" applyFill="1" applyBorder="1" applyAlignment="1">
      <alignment horizontal="center" vertical="center" wrapText="1" shrinkToFit="1"/>
    </xf>
    <xf numFmtId="0" fontId="0" fillId="0" borderId="0" xfId="0" applyFont="1" applyAlignment="1">
      <alignment/>
    </xf>
    <xf numFmtId="0" fontId="3" fillId="0" borderId="10" xfId="0" applyFont="1" applyFill="1" applyBorder="1" applyAlignment="1">
      <alignment horizontal="center" vertical="center" wrapText="1"/>
    </xf>
    <xf numFmtId="0" fontId="25" fillId="33" borderId="10" xfId="0" applyFont="1" applyFill="1" applyBorder="1" applyAlignment="1">
      <alignment horizontal="left" vertical="center" wrapText="1"/>
    </xf>
    <xf numFmtId="0" fontId="25" fillId="0" borderId="10" xfId="0" applyFont="1" applyFill="1" applyBorder="1" applyAlignment="1">
      <alignment vertical="center" wrapText="1"/>
    </xf>
    <xf numFmtId="0" fontId="33" fillId="0" borderId="10" xfId="0" applyFont="1" applyFill="1" applyBorder="1" applyAlignment="1">
      <alignment vertical="center" wrapText="1"/>
    </xf>
    <xf numFmtId="0" fontId="0" fillId="0" borderId="0" xfId="0" applyFont="1" applyFill="1" applyAlignment="1">
      <alignment/>
    </xf>
    <xf numFmtId="0" fontId="3" fillId="33" borderId="10" xfId="0" applyFont="1" applyFill="1" applyBorder="1" applyAlignment="1">
      <alignment vertical="center" wrapText="1"/>
    </xf>
    <xf numFmtId="0" fontId="6" fillId="0" borderId="0" xfId="0" applyFont="1" applyFill="1" applyAlignment="1">
      <alignment horizontal="center" vertical="center" wrapText="1"/>
    </xf>
    <xf numFmtId="0" fontId="4" fillId="36" borderId="0" xfId="0" applyFont="1" applyFill="1" applyAlignment="1">
      <alignment/>
    </xf>
    <xf numFmtId="0" fontId="34" fillId="0" borderId="0" xfId="0" applyFont="1" applyAlignment="1">
      <alignment/>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2" fillId="0" borderId="0" xfId="0" applyFont="1" applyFill="1" applyAlignment="1">
      <alignment/>
    </xf>
    <xf numFmtId="0" fontId="24" fillId="0" borderId="0" xfId="0" applyFont="1" applyFill="1" applyAlignment="1">
      <alignment/>
    </xf>
    <xf numFmtId="49" fontId="4" fillId="35" borderId="10" xfId="0" applyNumberFormat="1" applyFont="1" applyFill="1" applyBorder="1" applyAlignment="1">
      <alignment horizontal="center" vertical="center" wrapText="1"/>
    </xf>
    <xf numFmtId="0" fontId="29" fillId="34" borderId="10" xfId="0" applyFont="1" applyFill="1" applyBorder="1" applyAlignment="1">
      <alignment vertical="center" wrapText="1"/>
    </xf>
    <xf numFmtId="49" fontId="29" fillId="34" borderId="10" xfId="0" applyNumberFormat="1" applyFont="1" applyFill="1" applyBorder="1" applyAlignment="1">
      <alignment horizontal="center" vertical="center" wrapText="1"/>
    </xf>
    <xf numFmtId="0" fontId="32" fillId="33" borderId="10" xfId="0" applyFont="1" applyFill="1" applyBorder="1" applyAlignment="1">
      <alignment vertical="center" wrapText="1"/>
    </xf>
    <xf numFmtId="0" fontId="32" fillId="0" borderId="10" xfId="0" applyFont="1" applyFill="1" applyBorder="1" applyAlignment="1">
      <alignment vertical="center" wrapText="1"/>
    </xf>
    <xf numFmtId="0" fontId="4"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vertical="center" wrapText="1"/>
    </xf>
    <xf numFmtId="49" fontId="3" fillId="37" borderId="10" xfId="0" applyNumberFormat="1" applyFont="1" applyFill="1" applyBorder="1" applyAlignment="1">
      <alignment horizontal="center" vertical="center" wrapText="1" shrinkToFit="1"/>
    </xf>
    <xf numFmtId="49" fontId="10" fillId="37" borderId="10" xfId="0" applyNumberFormat="1" applyFont="1" applyFill="1" applyBorder="1" applyAlignment="1">
      <alignment horizontal="center" vertical="center" wrapText="1" shrinkToFit="1"/>
    </xf>
    <xf numFmtId="0" fontId="2" fillId="0" borderId="0" xfId="0" applyFont="1" applyFill="1" applyAlignment="1">
      <alignment horizontal="right"/>
    </xf>
    <xf numFmtId="0" fontId="10" fillId="0" borderId="10" xfId="0" applyFont="1" applyFill="1" applyBorder="1" applyAlignment="1">
      <alignment vertical="top" wrapText="1"/>
    </xf>
    <xf numFmtId="4" fontId="24" fillId="35" borderId="0" xfId="0" applyNumberFormat="1" applyFont="1" applyFill="1" applyAlignment="1">
      <alignment/>
    </xf>
    <xf numFmtId="4" fontId="10" fillId="0" borderId="0" xfId="0" applyNumberFormat="1" applyFont="1" applyFill="1" applyAlignment="1">
      <alignment/>
    </xf>
    <xf numFmtId="0" fontId="25" fillId="0" borderId="10" xfId="0" applyFont="1" applyFill="1" applyBorder="1" applyAlignment="1">
      <alignment vertical="top" wrapText="1"/>
    </xf>
    <xf numFmtId="0" fontId="25" fillId="33" borderId="10" xfId="0" applyFont="1" applyFill="1" applyBorder="1" applyAlignment="1">
      <alignment vertical="center"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6" fillId="37" borderId="0" xfId="0" applyFont="1" applyFill="1" applyBorder="1" applyAlignment="1">
      <alignment horizontal="center" vertical="justify" wrapText="1"/>
    </xf>
    <xf numFmtId="0" fontId="15" fillId="37" borderId="0" xfId="0" applyFont="1" applyFill="1" applyBorder="1" applyAlignment="1">
      <alignment horizontal="left" vertical="justify" wrapText="1"/>
    </xf>
    <xf numFmtId="0" fontId="14" fillId="37" borderId="0" xfId="0" applyFont="1" applyFill="1" applyBorder="1" applyAlignment="1">
      <alignment horizontal="center" vertical="justify" wrapText="1"/>
    </xf>
    <xf numFmtId="0" fontId="4" fillId="37" borderId="10" xfId="0" applyFont="1" applyFill="1" applyBorder="1" applyAlignment="1">
      <alignment horizontal="left" vertical="center" wrapText="1"/>
    </xf>
    <xf numFmtId="0" fontId="3" fillId="37" borderId="10" xfId="0" applyFont="1" applyFill="1" applyBorder="1" applyAlignment="1">
      <alignment horizontal="lef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left" vertical="center" wrapText="1"/>
    </xf>
    <xf numFmtId="2" fontId="3" fillId="37" borderId="10" xfId="0" applyNumberFormat="1" applyFont="1" applyFill="1" applyBorder="1" applyAlignment="1">
      <alignment horizontal="left" vertical="center" wrapText="1"/>
    </xf>
    <xf numFmtId="0" fontId="19" fillId="37" borderId="10" xfId="0" applyFont="1" applyFill="1" applyBorder="1" applyAlignment="1">
      <alignment horizontal="center" vertical="center" wrapText="1"/>
    </xf>
    <xf numFmtId="0" fontId="19" fillId="37" borderId="10" xfId="0" applyFont="1" applyFill="1" applyBorder="1" applyAlignment="1">
      <alignment horizontal="left" vertical="center" wrapText="1"/>
    </xf>
    <xf numFmtId="0" fontId="13" fillId="37" borderId="10" xfId="0" applyFont="1" applyFill="1" applyBorder="1" applyAlignment="1">
      <alignment horizontal="left" vertical="center"/>
    </xf>
    <xf numFmtId="0" fontId="25" fillId="37" borderId="10" xfId="0" applyFont="1" applyFill="1" applyBorder="1" applyAlignment="1">
      <alignment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88" fontId="3" fillId="38" borderId="10" xfId="0" applyNumberFormat="1" applyFont="1" applyFill="1" applyBorder="1" applyAlignment="1">
      <alignment horizontal="center" vertical="center" wrapText="1"/>
    </xf>
    <xf numFmtId="188" fontId="0" fillId="0" borderId="0" xfId="0" applyNumberFormat="1" applyAlignment="1">
      <alignment/>
    </xf>
    <xf numFmtId="0" fontId="25" fillId="39" borderId="10" xfId="0" applyFont="1" applyFill="1" applyBorder="1" applyAlignment="1">
      <alignment vertical="center" wrapText="1"/>
    </xf>
    <xf numFmtId="0" fontId="3" fillId="0" borderId="10" xfId="0" applyFont="1" applyFill="1" applyBorder="1" applyAlignment="1">
      <alignment vertical="top" wrapText="1"/>
    </xf>
    <xf numFmtId="0" fontId="29" fillId="0" borderId="10" xfId="0" applyFont="1" applyFill="1" applyBorder="1" applyAlignment="1">
      <alignment vertical="center" wrapText="1"/>
    </xf>
    <xf numFmtId="0" fontId="29" fillId="0" borderId="10" xfId="0" applyFont="1" applyFill="1" applyBorder="1" applyAlignment="1">
      <alignment vertical="top" wrapText="1"/>
    </xf>
    <xf numFmtId="0" fontId="9" fillId="40" borderId="10" xfId="0" applyFont="1" applyFill="1" applyBorder="1" applyAlignment="1">
      <alignment horizontal="left" vertical="center"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9" fillId="0" borderId="10" xfId="0" applyNumberFormat="1" applyFont="1" applyFill="1" applyBorder="1" applyAlignment="1">
      <alignment horizontal="center" vertical="center" wrapText="1" shrinkToFit="1"/>
    </xf>
    <xf numFmtId="0" fontId="29" fillId="41" borderId="10" xfId="0" applyFont="1" applyFill="1" applyBorder="1" applyAlignment="1">
      <alignment vertical="center" wrapText="1"/>
    </xf>
    <xf numFmtId="49" fontId="29" fillId="41" borderId="10" xfId="0" applyNumberFormat="1" applyFont="1" applyFill="1" applyBorder="1" applyAlignment="1">
      <alignment horizontal="center" vertical="center" wrapText="1"/>
    </xf>
    <xf numFmtId="0" fontId="10" fillId="41" borderId="10" xfId="0" applyFont="1" applyFill="1" applyBorder="1" applyAlignment="1">
      <alignment vertical="center" wrapText="1"/>
    </xf>
    <xf numFmtId="49" fontId="10" fillId="41"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3" fillId="37" borderId="10" xfId="0" applyFont="1" applyFill="1" applyBorder="1" applyAlignment="1">
      <alignment vertical="center" wrapText="1"/>
    </xf>
    <xf numFmtId="49" fontId="25" fillId="37" borderId="10" xfId="0" applyNumberFormat="1" applyFont="1" applyFill="1" applyBorder="1" applyAlignment="1">
      <alignment horizontal="center" vertical="center" wrapText="1" shrinkToFit="1"/>
    </xf>
    <xf numFmtId="49" fontId="3" fillId="42" borderId="10" xfId="0" applyNumberFormat="1" applyFont="1" applyFill="1" applyBorder="1" applyAlignment="1">
      <alignment horizontal="center" vertical="center" wrapText="1" shrinkToFit="1"/>
    </xf>
    <xf numFmtId="49" fontId="10" fillId="42" borderId="10" xfId="0" applyNumberFormat="1" applyFont="1" applyFill="1" applyBorder="1" applyAlignment="1">
      <alignment horizontal="center" vertical="center" wrapText="1" shrinkToFit="1"/>
    </xf>
    <xf numFmtId="0" fontId="25" fillId="31" borderId="10" xfId="0" applyFont="1" applyFill="1" applyBorder="1" applyAlignment="1">
      <alignment vertical="center" wrapText="1"/>
    </xf>
    <xf numFmtId="0" fontId="3" fillId="42" borderId="10" xfId="0" applyFont="1" applyFill="1" applyBorder="1" applyAlignment="1">
      <alignment vertical="top" wrapText="1"/>
    </xf>
    <xf numFmtId="0" fontId="3" fillId="37" borderId="0" xfId="0" applyFont="1" applyFill="1" applyBorder="1" applyAlignment="1">
      <alignment horizontal="right" vertical="justify" wrapText="1"/>
    </xf>
    <xf numFmtId="49" fontId="25" fillId="43" borderId="10" xfId="0" applyNumberFormat="1" applyFont="1" applyFill="1" applyBorder="1" applyAlignment="1">
      <alignment horizontal="center" vertical="center" wrapText="1" shrinkToFit="1"/>
    </xf>
    <xf numFmtId="49" fontId="3" fillId="43" borderId="10" xfId="0" applyNumberFormat="1" applyFont="1" applyFill="1" applyBorder="1" applyAlignment="1">
      <alignment horizontal="center" vertical="center" wrapText="1" shrinkToFit="1"/>
    </xf>
    <xf numFmtId="0" fontId="25" fillId="43" borderId="10" xfId="0" applyFont="1" applyFill="1" applyBorder="1" applyAlignment="1">
      <alignment vertical="center" wrapText="1"/>
    </xf>
    <xf numFmtId="49" fontId="3" fillId="31" borderId="10" xfId="0" applyNumberFormat="1" applyFont="1" applyFill="1" applyBorder="1" applyAlignment="1">
      <alignment horizontal="center" vertical="center" wrapText="1" shrinkToFit="1"/>
    </xf>
    <xf numFmtId="49" fontId="32" fillId="37" borderId="10" xfId="0" applyNumberFormat="1" applyFont="1" applyFill="1" applyBorder="1" applyAlignment="1">
      <alignment horizontal="center" vertical="center" wrapText="1" shrinkToFit="1"/>
    </xf>
    <xf numFmtId="0" fontId="29" fillId="37" borderId="10" xfId="0" applyFont="1" applyFill="1" applyBorder="1" applyAlignment="1">
      <alignment vertical="center" wrapText="1"/>
    </xf>
    <xf numFmtId="49" fontId="32" fillId="34" borderId="10" xfId="0" applyNumberFormat="1" applyFont="1" applyFill="1" applyBorder="1" applyAlignment="1">
      <alignment horizontal="center" vertical="center" wrapText="1" shrinkToFit="1"/>
    </xf>
    <xf numFmtId="49" fontId="32" fillId="0" borderId="10" xfId="0" applyNumberFormat="1" applyFont="1" applyFill="1" applyBorder="1" applyAlignment="1">
      <alignment horizontal="center" vertical="center" wrapText="1" shrinkToFit="1"/>
    </xf>
    <xf numFmtId="0" fontId="3" fillId="37" borderId="10" xfId="0" applyFont="1" applyFill="1" applyBorder="1" applyAlignment="1">
      <alignment vertical="top" wrapText="1"/>
    </xf>
    <xf numFmtId="0" fontId="4" fillId="40" borderId="10" xfId="0" applyFont="1" applyFill="1" applyBorder="1" applyAlignment="1">
      <alignment vertical="center" wrapText="1"/>
    </xf>
    <xf numFmtId="49" fontId="4" fillId="40" borderId="10" xfId="0" applyNumberFormat="1" applyFont="1" applyFill="1" applyBorder="1" applyAlignment="1">
      <alignment horizontal="center" vertical="center" wrapText="1" shrinkToFit="1"/>
    </xf>
    <xf numFmtId="0" fontId="3" fillId="34" borderId="10" xfId="0" applyFont="1" applyFill="1" applyBorder="1" applyAlignment="1">
      <alignment vertical="center" wrapText="1"/>
    </xf>
    <xf numFmtId="0" fontId="3" fillId="0" borderId="10" xfId="0" applyFont="1" applyFill="1" applyBorder="1" applyAlignment="1">
      <alignment horizontal="left" vertical="top" wrapText="1"/>
    </xf>
    <xf numFmtId="0" fontId="32" fillId="34" borderId="10" xfId="0" applyFont="1" applyFill="1" applyBorder="1" applyAlignment="1">
      <alignment vertical="center" wrapText="1"/>
    </xf>
    <xf numFmtId="0" fontId="32"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0" fontId="3" fillId="31" borderId="10" xfId="0" applyFont="1" applyFill="1" applyBorder="1" applyAlignment="1">
      <alignment vertical="center" wrapText="1"/>
    </xf>
    <xf numFmtId="0" fontId="25" fillId="37" borderId="10" xfId="0" applyFont="1" applyFill="1" applyBorder="1" applyAlignment="1">
      <alignment vertical="top" wrapText="1"/>
    </xf>
    <xf numFmtId="0" fontId="3" fillId="37" borderId="10" xfId="0" applyFont="1" applyFill="1" applyBorder="1" applyAlignment="1">
      <alignment horizontal="left" vertical="top" wrapText="1"/>
    </xf>
    <xf numFmtId="0" fontId="25" fillId="37" borderId="10" xfId="0" applyFont="1" applyFill="1" applyBorder="1" applyAlignment="1">
      <alignment horizontal="left" vertical="top" wrapText="1"/>
    </xf>
    <xf numFmtId="190" fontId="3" fillId="0" borderId="10" xfId="0" applyNumberFormat="1" applyFont="1" applyFill="1" applyBorder="1" applyAlignment="1">
      <alignment horizontal="center" vertical="center" wrapText="1"/>
    </xf>
    <xf numFmtId="0" fontId="4" fillId="34" borderId="10" xfId="0" applyFont="1" applyFill="1" applyBorder="1" applyAlignment="1">
      <alignment vertical="center" wrapText="1"/>
    </xf>
    <xf numFmtId="0" fontId="3" fillId="43" borderId="10" xfId="0" applyFont="1" applyFill="1" applyBorder="1" applyAlignment="1">
      <alignment vertical="top" wrapText="1"/>
    </xf>
    <xf numFmtId="190" fontId="25" fillId="0" borderId="10" xfId="0" applyNumberFormat="1" applyFont="1" applyFill="1" applyBorder="1" applyAlignment="1">
      <alignment horizontal="center" vertical="center" wrapText="1"/>
    </xf>
    <xf numFmtId="0" fontId="3" fillId="39" borderId="10" xfId="0" applyFont="1" applyFill="1" applyBorder="1" applyAlignment="1">
      <alignment vertical="center" wrapText="1"/>
    </xf>
    <xf numFmtId="49" fontId="3" fillId="39" borderId="10" xfId="0" applyNumberFormat="1" applyFont="1" applyFill="1" applyBorder="1" applyAlignment="1">
      <alignment horizontal="center" vertical="center" wrapText="1" shrinkToFit="1"/>
    </xf>
    <xf numFmtId="0" fontId="25" fillId="44" borderId="10" xfId="0" applyFont="1" applyFill="1" applyBorder="1" applyAlignment="1">
      <alignment vertical="center" wrapText="1"/>
    </xf>
    <xf numFmtId="49" fontId="25" fillId="44" borderId="10" xfId="0" applyNumberFormat="1" applyFont="1" applyFill="1" applyBorder="1" applyAlignment="1">
      <alignment horizontal="center" vertical="center" wrapText="1" shrinkToFit="1"/>
    </xf>
    <xf numFmtId="49" fontId="25" fillId="31" borderId="10" xfId="0" applyNumberFormat="1" applyFont="1" applyFill="1" applyBorder="1" applyAlignment="1">
      <alignment horizontal="center" vertical="center" wrapText="1" shrinkToFit="1"/>
    </xf>
    <xf numFmtId="49" fontId="25" fillId="39" borderId="10" xfId="0" applyNumberFormat="1" applyFont="1" applyFill="1" applyBorder="1" applyAlignment="1">
      <alignment horizontal="center" vertical="center" wrapText="1" shrinkToFit="1"/>
    </xf>
    <xf numFmtId="0" fontId="4" fillId="37" borderId="10" xfId="0" applyFont="1" applyFill="1" applyBorder="1" applyAlignment="1">
      <alignment vertical="center" wrapText="1"/>
    </xf>
    <xf numFmtId="49" fontId="4" fillId="37" borderId="10" xfId="0" applyNumberFormat="1" applyFont="1" applyFill="1" applyBorder="1" applyAlignment="1">
      <alignment horizontal="center" vertical="center" wrapText="1" shrinkToFit="1"/>
    </xf>
    <xf numFmtId="190" fontId="3" fillId="41" borderId="10" xfId="0" applyNumberFormat="1" applyFont="1" applyFill="1" applyBorder="1" applyAlignment="1">
      <alignment horizontal="center" vertical="center" wrapText="1"/>
    </xf>
    <xf numFmtId="0" fontId="4" fillId="39" borderId="10" xfId="0" applyFont="1" applyFill="1" applyBorder="1" applyAlignment="1">
      <alignment vertical="center" wrapText="1"/>
    </xf>
    <xf numFmtId="49" fontId="4" fillId="39" borderId="10" xfId="0" applyNumberFormat="1" applyFont="1" applyFill="1" applyBorder="1" applyAlignment="1">
      <alignment horizontal="center" vertical="center" wrapText="1" shrinkToFit="1"/>
    </xf>
    <xf numFmtId="0" fontId="32" fillId="0" borderId="10" xfId="0" applyFont="1" applyFill="1" applyBorder="1" applyAlignment="1">
      <alignment horizontal="left" vertical="top" wrapText="1"/>
    </xf>
    <xf numFmtId="0" fontId="32" fillId="37" borderId="10" xfId="0" applyFont="1" applyFill="1" applyBorder="1" applyAlignment="1">
      <alignment vertical="center" wrapText="1"/>
    </xf>
    <xf numFmtId="0" fontId="4" fillId="42" borderId="10" xfId="0" applyFont="1" applyFill="1" applyBorder="1" applyAlignment="1">
      <alignment vertical="center" wrapText="1"/>
    </xf>
    <xf numFmtId="0" fontId="4" fillId="42" borderId="10" xfId="0" applyFont="1" applyFill="1" applyBorder="1" applyAlignment="1">
      <alignment horizontal="center" vertical="center" wrapText="1"/>
    </xf>
    <xf numFmtId="190" fontId="4" fillId="42" borderId="10" xfId="0" applyNumberFormat="1" applyFont="1" applyFill="1" applyBorder="1" applyAlignment="1">
      <alignment horizontal="center" vertical="center" wrapText="1"/>
    </xf>
    <xf numFmtId="190" fontId="0" fillId="0" borderId="0" xfId="0" applyNumberFormat="1" applyFont="1" applyFill="1" applyAlignment="1">
      <alignment/>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9" fillId="0" borderId="10" xfId="0" applyFont="1" applyFill="1" applyBorder="1" applyAlignment="1">
      <alignment horizontal="left" vertical="center" wrapText="1"/>
    </xf>
    <xf numFmtId="0" fontId="35" fillId="0" borderId="10" xfId="0" applyFont="1" applyFill="1" applyBorder="1" applyAlignment="1">
      <alignment vertical="top" wrapText="1"/>
    </xf>
    <xf numFmtId="49" fontId="35" fillId="0" borderId="10"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xf>
    <xf numFmtId="0" fontId="35" fillId="0" borderId="10" xfId="0" applyFont="1" applyFill="1" applyBorder="1" applyAlignment="1">
      <alignment vertical="center" wrapText="1"/>
    </xf>
    <xf numFmtId="49" fontId="29" fillId="44" borderId="10" xfId="0" applyNumberFormat="1" applyFont="1" applyFill="1" applyBorder="1" applyAlignment="1">
      <alignment horizontal="center" vertical="center" wrapText="1" shrinkToFi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6" fillId="0" borderId="10" xfId="0" applyFont="1" applyFill="1" applyBorder="1" applyAlignment="1">
      <alignment vertical="center" wrapText="1"/>
    </xf>
    <xf numFmtId="0" fontId="9" fillId="0" borderId="10" xfId="0" applyFont="1" applyFill="1" applyBorder="1" applyAlignment="1">
      <alignment vertical="top" wrapText="1"/>
    </xf>
    <xf numFmtId="49" fontId="29" fillId="42"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10" fillId="42" borderId="10" xfId="0" applyNumberFormat="1" applyFont="1" applyFill="1" applyBorder="1" applyAlignment="1">
      <alignment horizontal="center" vertical="center" wrapText="1"/>
    </xf>
    <xf numFmtId="0" fontId="37" fillId="34" borderId="0" xfId="0" applyFont="1" applyFill="1" applyAlignment="1">
      <alignment/>
    </xf>
    <xf numFmtId="0" fontId="9" fillId="35" borderId="10" xfId="0" applyFont="1" applyFill="1" applyBorder="1" applyAlignment="1">
      <alignment vertical="center" wrapText="1"/>
    </xf>
    <xf numFmtId="49" fontId="9" fillId="35" borderId="10" xfId="0" applyNumberFormat="1" applyFont="1" applyFill="1" applyBorder="1" applyAlignment="1">
      <alignment horizontal="center" vertical="center" wrapText="1"/>
    </xf>
    <xf numFmtId="0" fontId="9" fillId="35" borderId="10" xfId="0" applyFont="1" applyFill="1" applyBorder="1" applyAlignment="1">
      <alignment horizontal="left" vertical="center" wrapText="1"/>
    </xf>
    <xf numFmtId="4" fontId="9" fillId="35" borderId="0" xfId="0" applyNumberFormat="1" applyFont="1" applyFill="1" applyAlignment="1">
      <alignment/>
    </xf>
    <xf numFmtId="0" fontId="16" fillId="0" borderId="0" xfId="0" applyFont="1" applyAlignment="1">
      <alignment/>
    </xf>
    <xf numFmtId="0" fontId="9" fillId="45" borderId="10" xfId="0" applyFont="1" applyFill="1" applyBorder="1" applyAlignment="1">
      <alignment vertical="center" wrapText="1"/>
    </xf>
    <xf numFmtId="0" fontId="10" fillId="35" borderId="0" xfId="0" applyFont="1" applyFill="1" applyAlignment="1">
      <alignment/>
    </xf>
    <xf numFmtId="49" fontId="9" fillId="0" borderId="10" xfId="0" applyNumberFormat="1" applyFont="1" applyFill="1" applyBorder="1" applyAlignment="1">
      <alignment horizontal="center" vertical="center" wrapText="1"/>
    </xf>
    <xf numFmtId="0" fontId="9" fillId="0" borderId="0" xfId="0" applyFont="1" applyAlignment="1">
      <alignment/>
    </xf>
    <xf numFmtId="49" fontId="35" fillId="0" borderId="10" xfId="0" applyNumberFormat="1" applyFont="1" applyFill="1" applyBorder="1" applyAlignment="1">
      <alignment horizontal="center" vertical="center" wrapText="1"/>
    </xf>
    <xf numFmtId="190" fontId="35" fillId="0" borderId="10" xfId="0" applyNumberFormat="1" applyFont="1" applyFill="1" applyBorder="1" applyAlignment="1">
      <alignment horizontal="center" vertical="center" wrapText="1"/>
    </xf>
    <xf numFmtId="183" fontId="10" fillId="0" borderId="0" xfId="0" applyNumberFormat="1" applyFont="1" applyAlignment="1">
      <alignment/>
    </xf>
    <xf numFmtId="0" fontId="9" fillId="0" borderId="0" xfId="0" applyFont="1" applyFill="1" applyAlignment="1">
      <alignment/>
    </xf>
    <xf numFmtId="49" fontId="9" fillId="35" borderId="10" xfId="0" applyNumberFormat="1" applyFont="1" applyFill="1" applyBorder="1" applyAlignment="1">
      <alignment horizontal="center" vertical="center" wrapText="1" shrinkToFit="1"/>
    </xf>
    <xf numFmtId="0" fontId="29" fillId="42" borderId="10" xfId="0" applyFont="1" applyFill="1" applyBorder="1" applyAlignment="1">
      <alignment vertical="center" wrapText="1"/>
    </xf>
    <xf numFmtId="49" fontId="29" fillId="42" borderId="10" xfId="0" applyNumberFormat="1" applyFont="1" applyFill="1" applyBorder="1" applyAlignment="1">
      <alignment horizontal="center" vertical="center" wrapText="1"/>
    </xf>
    <xf numFmtId="190" fontId="29" fillId="42" borderId="10" xfId="0" applyNumberFormat="1" applyFont="1" applyFill="1" applyBorder="1" applyAlignment="1">
      <alignment horizontal="center" vertical="center" wrapText="1"/>
    </xf>
    <xf numFmtId="183" fontId="10" fillId="0" borderId="0" xfId="0" applyNumberFormat="1" applyFont="1" applyFill="1" applyAlignment="1">
      <alignment/>
    </xf>
    <xf numFmtId="190" fontId="10" fillId="0" borderId="0" xfId="0" applyNumberFormat="1" applyFont="1" applyFill="1" applyAlignment="1">
      <alignment/>
    </xf>
    <xf numFmtId="190" fontId="9" fillId="35" borderId="10" xfId="0" applyNumberFormat="1" applyFont="1" applyFill="1" applyBorder="1" applyAlignment="1">
      <alignment horizontal="center" vertical="center" wrapText="1"/>
    </xf>
    <xf numFmtId="190" fontId="9" fillId="42" borderId="10" xfId="0" applyNumberFormat="1" applyFont="1" applyFill="1" applyBorder="1" applyAlignment="1">
      <alignment horizontal="center" vertical="center" wrapText="1"/>
    </xf>
    <xf numFmtId="0" fontId="23" fillId="33" borderId="0" xfId="0" applyFont="1" applyFill="1" applyAlignment="1">
      <alignment/>
    </xf>
    <xf numFmtId="190" fontId="9" fillId="0" borderId="10" xfId="0" applyNumberFormat="1" applyFont="1" applyFill="1" applyBorder="1" applyAlignment="1">
      <alignment horizontal="center"/>
    </xf>
    <xf numFmtId="183" fontId="16" fillId="0" borderId="0" xfId="0" applyNumberFormat="1" applyFont="1" applyAlignment="1">
      <alignment/>
    </xf>
    <xf numFmtId="190" fontId="0" fillId="0" borderId="0" xfId="0" applyNumberFormat="1" applyFont="1" applyAlignment="1">
      <alignment/>
    </xf>
    <xf numFmtId="188" fontId="3" fillId="35" borderId="0" xfId="0" applyNumberFormat="1" applyFont="1" applyFill="1" applyAlignment="1">
      <alignment/>
    </xf>
    <xf numFmtId="190" fontId="9"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4" fillId="37"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90" fontId="9" fillId="0" borderId="10" xfId="63" applyNumberFormat="1" applyFont="1" applyFill="1" applyBorder="1" applyAlignment="1">
      <alignment horizontal="center" vertical="center" wrapText="1"/>
    </xf>
    <xf numFmtId="190" fontId="10" fillId="0" borderId="10" xfId="63" applyNumberFormat="1" applyFont="1" applyFill="1" applyBorder="1" applyAlignment="1">
      <alignment horizontal="center" vertical="center" wrapText="1"/>
    </xf>
    <xf numFmtId="190" fontId="10" fillId="37" borderId="10" xfId="0" applyNumberFormat="1" applyFont="1" applyFill="1" applyBorder="1" applyAlignment="1">
      <alignment horizontal="center" vertical="center" wrapText="1"/>
    </xf>
    <xf numFmtId="190" fontId="9" fillId="40" borderId="10" xfId="0" applyNumberFormat="1" applyFont="1" applyFill="1" applyBorder="1" applyAlignment="1">
      <alignment horizontal="center" vertical="center" wrapText="1"/>
    </xf>
    <xf numFmtId="0" fontId="9" fillId="34"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0" xfId="0" applyFont="1" applyFill="1" applyBorder="1" applyAlignment="1">
      <alignment horizontal="left" vertical="top" wrapText="1"/>
    </xf>
    <xf numFmtId="0" fontId="35" fillId="42" borderId="10" xfId="0" applyFont="1" applyFill="1" applyBorder="1" applyAlignment="1">
      <alignment vertical="center" wrapText="1"/>
    </xf>
    <xf numFmtId="0" fontId="10" fillId="40" borderId="10" xfId="0" applyFont="1" applyFill="1" applyBorder="1" applyAlignment="1">
      <alignment vertical="center" wrapText="1"/>
    </xf>
    <xf numFmtId="49" fontId="10" fillId="40" borderId="10" xfId="0" applyNumberFormat="1" applyFont="1" applyFill="1" applyBorder="1" applyAlignment="1">
      <alignment horizontal="center" vertical="center" wrapText="1" shrinkToFit="1"/>
    </xf>
    <xf numFmtId="0" fontId="10" fillId="33" borderId="10" xfId="0" applyFont="1" applyFill="1" applyBorder="1" applyAlignment="1">
      <alignment vertical="top"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9" fillId="42" borderId="10" xfId="0" applyFont="1" applyFill="1" applyBorder="1" applyAlignment="1">
      <alignment vertical="top" wrapText="1"/>
    </xf>
    <xf numFmtId="0" fontId="10" fillId="37" borderId="10" xfId="0" applyFont="1" applyFill="1" applyBorder="1" applyAlignment="1">
      <alignment vertical="center" wrapText="1"/>
    </xf>
    <xf numFmtId="0" fontId="10" fillId="37" borderId="10" xfId="0" applyFont="1" applyFill="1" applyBorder="1" applyAlignment="1">
      <alignment vertical="top" wrapText="1"/>
    </xf>
    <xf numFmtId="0" fontId="10" fillId="37" borderId="10" xfId="0" applyFont="1" applyFill="1" applyBorder="1" applyAlignment="1">
      <alignment horizontal="left" vertical="top" wrapText="1"/>
    </xf>
    <xf numFmtId="0" fontId="29" fillId="0" borderId="10" xfId="0" applyFont="1" applyFill="1" applyBorder="1" applyAlignment="1">
      <alignment horizontal="left" vertical="top" wrapText="1"/>
    </xf>
    <xf numFmtId="0" fontId="9" fillId="34" borderId="10" xfId="0" applyFont="1" applyFill="1" applyBorder="1" applyAlignment="1">
      <alignment vertical="center" wrapText="1"/>
    </xf>
    <xf numFmtId="0" fontId="9" fillId="34" borderId="10" xfId="0" applyFont="1" applyFill="1" applyBorder="1" applyAlignment="1">
      <alignment horizontal="left" vertical="center" wrapText="1"/>
    </xf>
    <xf numFmtId="0" fontId="29" fillId="43" borderId="10" xfId="0" applyFont="1" applyFill="1" applyBorder="1" applyAlignment="1">
      <alignment vertical="center" wrapText="1"/>
    </xf>
    <xf numFmtId="0" fontId="10" fillId="40" borderId="10" xfId="0" applyFont="1" applyFill="1" applyBorder="1" applyAlignment="1">
      <alignment vertical="top" wrapText="1"/>
    </xf>
    <xf numFmtId="190" fontId="10" fillId="4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10" fillId="33" borderId="10" xfId="0" applyFont="1" applyFill="1" applyBorder="1" applyAlignment="1">
      <alignment vertical="center" wrapText="1"/>
    </xf>
    <xf numFmtId="0" fontId="29" fillId="0" borderId="10" xfId="0" applyFont="1" applyFill="1" applyBorder="1" applyAlignment="1">
      <alignment horizontal="left" vertical="center" wrapText="1"/>
    </xf>
    <xf numFmtId="0" fontId="36" fillId="0" borderId="10" xfId="0" applyFont="1" applyFill="1" applyBorder="1" applyAlignment="1">
      <alignment horizontal="left" vertical="center" wrapText="1"/>
    </xf>
    <xf numFmtId="190" fontId="9" fillId="34"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34" borderId="10" xfId="0" applyFont="1" applyFill="1" applyBorder="1" applyAlignment="1">
      <alignment vertical="center" wrapText="1"/>
    </xf>
    <xf numFmtId="0" fontId="9" fillId="40" borderId="10" xfId="0" applyFont="1" applyFill="1" applyBorder="1" applyAlignment="1">
      <alignment vertical="center" wrapText="1"/>
    </xf>
    <xf numFmtId="0" fontId="9" fillId="42" borderId="10" xfId="0" applyFont="1" applyFill="1" applyBorder="1" applyAlignment="1">
      <alignment horizontal="left"/>
    </xf>
    <xf numFmtId="0" fontId="37" fillId="0" borderId="0" xfId="0" applyFont="1" applyFill="1" applyAlignment="1">
      <alignment/>
    </xf>
    <xf numFmtId="0" fontId="16" fillId="46" borderId="0" xfId="0" applyFont="1" applyFill="1" applyAlignment="1">
      <alignment/>
    </xf>
    <xf numFmtId="0" fontId="5" fillId="0"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vertical="top"/>
    </xf>
    <xf numFmtId="0" fontId="21" fillId="33" borderId="0" xfId="0" applyFont="1" applyFill="1" applyBorder="1" applyAlignment="1">
      <alignment/>
    </xf>
    <xf numFmtId="0" fontId="32" fillId="33" borderId="0" xfId="0" applyFont="1" applyFill="1" applyAlignment="1">
      <alignment/>
    </xf>
    <xf numFmtId="0" fontId="31" fillId="0" borderId="0" xfId="0" applyFont="1" applyAlignment="1">
      <alignment horizontal="left"/>
    </xf>
    <xf numFmtId="0" fontId="38" fillId="44" borderId="0" xfId="0" applyFont="1" applyFill="1" applyAlignment="1">
      <alignment/>
    </xf>
    <xf numFmtId="190" fontId="31" fillId="44" borderId="0" xfId="0" applyNumberFormat="1" applyFont="1" applyFill="1" applyAlignment="1">
      <alignment/>
    </xf>
    <xf numFmtId="0" fontId="23" fillId="44" borderId="0" xfId="0" applyFont="1" applyFill="1" applyAlignment="1">
      <alignment/>
    </xf>
    <xf numFmtId="190" fontId="6" fillId="0" borderId="0" xfId="0" applyNumberFormat="1" applyFont="1" applyFill="1" applyAlignment="1">
      <alignment horizontal="center" vertical="center" wrapText="1"/>
    </xf>
    <xf numFmtId="190" fontId="2" fillId="0" borderId="0" xfId="0" applyNumberFormat="1" applyFont="1" applyAlignment="1">
      <alignment horizontal="right"/>
    </xf>
    <xf numFmtId="190" fontId="2" fillId="47" borderId="10" xfId="0" applyNumberFormat="1" applyFont="1" applyFill="1" applyBorder="1" applyAlignment="1">
      <alignment horizontal="center" vertical="center" wrapText="1"/>
    </xf>
    <xf numFmtId="190" fontId="4" fillId="35" borderId="10" xfId="0" applyNumberFormat="1" applyFont="1" applyFill="1" applyBorder="1" applyAlignment="1">
      <alignment horizontal="center" vertical="center" wrapText="1"/>
    </xf>
    <xf numFmtId="190" fontId="29" fillId="34" borderId="10" xfId="0" applyNumberFormat="1" applyFont="1" applyFill="1" applyBorder="1" applyAlignment="1">
      <alignment horizontal="center" vertical="center" wrapText="1"/>
    </xf>
    <xf numFmtId="190" fontId="29" fillId="41" borderId="10" xfId="0" applyNumberFormat="1" applyFont="1" applyFill="1" applyBorder="1" applyAlignment="1">
      <alignment horizontal="center" vertical="center" wrapText="1"/>
    </xf>
    <xf numFmtId="190" fontId="10" fillId="41" borderId="10" xfId="0" applyNumberFormat="1" applyFont="1" applyFill="1" applyBorder="1" applyAlignment="1">
      <alignment horizontal="center" vertical="center" wrapText="1"/>
    </xf>
    <xf numFmtId="190" fontId="10" fillId="37" borderId="10" xfId="0" applyNumberFormat="1" applyFont="1" applyFill="1" applyBorder="1" applyAlignment="1">
      <alignment horizontal="center" vertical="center" wrapText="1"/>
    </xf>
    <xf numFmtId="190" fontId="10" fillId="0" borderId="10" xfId="0" applyNumberFormat="1" applyFont="1" applyFill="1" applyBorder="1" applyAlignment="1">
      <alignment horizontal="center" vertical="top"/>
    </xf>
    <xf numFmtId="190" fontId="3" fillId="0" borderId="0" xfId="0" applyNumberFormat="1" applyFont="1" applyAlignment="1">
      <alignment/>
    </xf>
    <xf numFmtId="190" fontId="10" fillId="0" borderId="10" xfId="0" applyNumberFormat="1" applyFont="1" applyFill="1" applyBorder="1" applyAlignment="1">
      <alignment horizontal="center" vertical="center" wrapText="1"/>
    </xf>
    <xf numFmtId="190" fontId="29" fillId="0" borderId="10" xfId="63" applyNumberFormat="1" applyFont="1" applyFill="1" applyBorder="1" applyAlignment="1">
      <alignment horizontal="center" vertical="center" wrapText="1"/>
    </xf>
    <xf numFmtId="0" fontId="10" fillId="0" borderId="0" xfId="0" applyFont="1" applyFill="1" applyAlignment="1">
      <alignment horizontal="right"/>
    </xf>
    <xf numFmtId="3" fontId="30" fillId="47" borderId="10" xfId="0" applyNumberFormat="1" applyFont="1" applyFill="1" applyBorder="1" applyAlignment="1">
      <alignment horizontal="center" vertical="center" wrapText="1"/>
    </xf>
    <xf numFmtId="0" fontId="0" fillId="0" borderId="0" xfId="0" applyFont="1" applyAlignment="1">
      <alignment horizontal="left"/>
    </xf>
    <xf numFmtId="190" fontId="3" fillId="34" borderId="10" xfId="0" applyNumberFormat="1" applyFont="1" applyFill="1" applyBorder="1" applyAlignment="1">
      <alignment horizontal="center" vertical="center" wrapText="1"/>
    </xf>
    <xf numFmtId="190" fontId="32" fillId="34" borderId="10" xfId="0" applyNumberFormat="1" applyFont="1" applyFill="1" applyBorder="1" applyAlignment="1">
      <alignment horizontal="center" vertical="center" wrapText="1"/>
    </xf>
    <xf numFmtId="190" fontId="25" fillId="33" borderId="10" xfId="0" applyNumberFormat="1" applyFont="1" applyFill="1" applyBorder="1" applyAlignment="1">
      <alignment horizontal="center" vertical="center" wrapText="1"/>
    </xf>
    <xf numFmtId="190" fontId="32" fillId="33" borderId="10" xfId="0" applyNumberFormat="1" applyFont="1" applyFill="1" applyBorder="1" applyAlignment="1">
      <alignment horizontal="center" vertical="center" wrapText="1"/>
    </xf>
    <xf numFmtId="190" fontId="3" fillId="31" borderId="10" xfId="0" applyNumberFormat="1" applyFont="1" applyFill="1" applyBorder="1" applyAlignment="1">
      <alignment horizontal="center" vertical="center" wrapText="1"/>
    </xf>
    <xf numFmtId="190" fontId="25" fillId="41" borderId="10" xfId="0" applyNumberFormat="1" applyFont="1" applyFill="1" applyBorder="1" applyAlignment="1">
      <alignment horizontal="center" vertical="center" wrapText="1"/>
    </xf>
    <xf numFmtId="190" fontId="4" fillId="34" borderId="10" xfId="0" applyNumberFormat="1" applyFont="1" applyFill="1" applyBorder="1" applyAlignment="1">
      <alignment horizontal="center" vertical="center" wrapText="1"/>
    </xf>
    <xf numFmtId="190" fontId="3" fillId="42" borderId="10" xfId="0" applyNumberFormat="1" applyFont="1" applyFill="1" applyBorder="1" applyAlignment="1">
      <alignment horizontal="center" vertical="center" wrapText="1"/>
    </xf>
    <xf numFmtId="190" fontId="3" fillId="39" borderId="10" xfId="0" applyNumberFormat="1" applyFont="1" applyFill="1" applyBorder="1" applyAlignment="1">
      <alignment horizontal="center" vertical="center" wrapText="1"/>
    </xf>
    <xf numFmtId="190" fontId="32"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39" borderId="10" xfId="0" applyNumberFormat="1" applyFont="1" applyFill="1" applyBorder="1" applyAlignment="1">
      <alignment horizontal="center" vertical="center" wrapText="1"/>
    </xf>
    <xf numFmtId="190" fontId="3" fillId="33" borderId="10" xfId="0" applyNumberFormat="1" applyFont="1" applyFill="1" applyBorder="1" applyAlignment="1">
      <alignment horizontal="center" vertical="center" wrapText="1"/>
    </xf>
    <xf numFmtId="190" fontId="3" fillId="37"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25" fillId="44" borderId="10" xfId="0" applyNumberFormat="1" applyFont="1" applyFill="1" applyBorder="1" applyAlignment="1">
      <alignment horizontal="center" vertical="center" wrapText="1"/>
    </xf>
    <xf numFmtId="190" fontId="25" fillId="31" borderId="10" xfId="0" applyNumberFormat="1" applyFont="1" applyFill="1" applyBorder="1" applyAlignment="1">
      <alignment horizontal="center" vertical="center" wrapText="1"/>
    </xf>
    <xf numFmtId="190" fontId="25" fillId="39" borderId="10" xfId="0" applyNumberFormat="1" applyFont="1" applyFill="1" applyBorder="1" applyAlignment="1">
      <alignment horizontal="center" vertical="center" wrapText="1"/>
    </xf>
    <xf numFmtId="190" fontId="33" fillId="0" borderId="10" xfId="0" applyNumberFormat="1" applyFont="1" applyFill="1" applyBorder="1" applyAlignment="1">
      <alignment horizontal="center" vertical="center" wrapText="1"/>
    </xf>
    <xf numFmtId="190" fontId="25" fillId="37" borderId="10" xfId="0" applyNumberFormat="1" applyFont="1" applyFill="1" applyBorder="1" applyAlignment="1">
      <alignment horizontal="center" vertical="center" wrapText="1"/>
    </xf>
    <xf numFmtId="190" fontId="32" fillId="37" borderId="10" xfId="0" applyNumberFormat="1" applyFont="1" applyFill="1" applyBorder="1" applyAlignment="1">
      <alignment horizontal="center" vertical="center" wrapText="1"/>
    </xf>
    <xf numFmtId="190" fontId="4" fillId="40" borderId="10" xfId="0" applyNumberFormat="1" applyFont="1" applyFill="1" applyBorder="1" applyAlignment="1">
      <alignment horizontal="center" vertical="center" wrapText="1"/>
    </xf>
    <xf numFmtId="190" fontId="25" fillId="37" borderId="10" xfId="0" applyNumberFormat="1" applyFont="1" applyFill="1" applyBorder="1" applyAlignment="1">
      <alignment horizontal="center" vertical="center"/>
    </xf>
    <xf numFmtId="190" fontId="25" fillId="43" borderId="10" xfId="0" applyNumberFormat="1" applyFont="1" applyFill="1" applyBorder="1" applyAlignment="1">
      <alignment horizontal="center" vertical="center" wrapText="1"/>
    </xf>
    <xf numFmtId="190" fontId="3" fillId="43"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xf>
    <xf numFmtId="190" fontId="9" fillId="34" borderId="10" xfId="0" applyNumberFormat="1" applyFont="1" applyFill="1" applyBorder="1" applyAlignment="1">
      <alignment horizontal="center" vertical="center" wrapText="1"/>
    </xf>
    <xf numFmtId="190" fontId="35" fillId="42" borderId="10" xfId="0" applyNumberFormat="1" applyFont="1" applyFill="1" applyBorder="1" applyAlignment="1">
      <alignment horizontal="center" vertical="center" wrapText="1"/>
    </xf>
    <xf numFmtId="190" fontId="29" fillId="43" borderId="10" xfId="0" applyNumberFormat="1" applyFont="1" applyFill="1" applyBorder="1" applyAlignment="1">
      <alignment horizontal="center" vertical="center" wrapText="1"/>
    </xf>
    <xf numFmtId="190" fontId="10" fillId="43" borderId="10" xfId="0" applyNumberFormat="1" applyFont="1" applyFill="1" applyBorder="1" applyAlignment="1">
      <alignment horizontal="center" vertical="center" wrapText="1"/>
    </xf>
    <xf numFmtId="190" fontId="10" fillId="43" borderId="10" xfId="0" applyNumberFormat="1" applyFont="1" applyFill="1" applyBorder="1" applyAlignment="1">
      <alignment horizontal="center" vertical="center" wrapText="1"/>
    </xf>
    <xf numFmtId="190" fontId="29" fillId="44"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9" fillId="40" borderId="10" xfId="0" applyNumberFormat="1" applyFont="1" applyFill="1" applyBorder="1" applyAlignment="1">
      <alignment horizontal="center" vertical="center" wrapText="1"/>
    </xf>
    <xf numFmtId="190" fontId="29" fillId="37" borderId="10" xfId="0" applyNumberFormat="1" applyFont="1" applyFill="1" applyBorder="1" applyAlignment="1">
      <alignment horizontal="center" vertical="center" wrapText="1"/>
    </xf>
    <xf numFmtId="190" fontId="10" fillId="48"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10" fillId="40" borderId="10" xfId="0" applyNumberFormat="1" applyFont="1" applyFill="1" applyBorder="1" applyAlignment="1">
      <alignment horizontal="center" vertical="center" wrapText="1"/>
    </xf>
    <xf numFmtId="190" fontId="10" fillId="34" borderId="10" xfId="0" applyNumberFormat="1" applyFont="1" applyFill="1" applyBorder="1" applyAlignment="1">
      <alignment horizontal="center" vertical="center" wrapText="1"/>
    </xf>
    <xf numFmtId="190" fontId="10" fillId="34" borderId="10" xfId="0" applyNumberFormat="1" applyFont="1" applyFill="1" applyBorder="1" applyAlignment="1">
      <alignment horizontal="center" vertical="center" wrapText="1"/>
    </xf>
    <xf numFmtId="190" fontId="9" fillId="39"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82"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190" fontId="10" fillId="0" borderId="10" xfId="0" applyNumberFormat="1" applyFont="1" applyFill="1" applyBorder="1" applyAlignment="1">
      <alignment horizontal="center" vertical="center"/>
    </xf>
    <xf numFmtId="190" fontId="9" fillId="0" borderId="10" xfId="0" applyNumberFormat="1" applyFont="1" applyFill="1" applyBorder="1" applyAlignment="1">
      <alignment horizontal="center" vertical="center"/>
    </xf>
    <xf numFmtId="0" fontId="0" fillId="37" borderId="0" xfId="0" applyFont="1" applyFill="1" applyAlignment="1">
      <alignment/>
    </xf>
    <xf numFmtId="0" fontId="9" fillId="0" borderId="10" xfId="0" applyFont="1" applyFill="1" applyBorder="1" applyAlignment="1">
      <alignment horizontal="center" vertical="center" wrapText="1"/>
    </xf>
    <xf numFmtId="0" fontId="35" fillId="0" borderId="10" xfId="0" applyFont="1" applyFill="1" applyBorder="1" applyAlignment="1">
      <alignment vertical="center" wrapText="1"/>
    </xf>
    <xf numFmtId="182" fontId="2" fillId="0" borderId="0" xfId="0" applyNumberFormat="1" applyFont="1" applyFill="1" applyAlignment="1">
      <alignment horizontal="right" vertical="center"/>
    </xf>
    <xf numFmtId="0" fontId="35" fillId="10" borderId="10" xfId="0" applyFont="1" applyFill="1" applyBorder="1" applyAlignment="1">
      <alignment vertical="center" wrapText="1"/>
    </xf>
    <xf numFmtId="188" fontId="23" fillId="10" borderId="10" xfId="0" applyNumberFormat="1" applyFont="1" applyFill="1" applyBorder="1" applyAlignment="1">
      <alignment horizontal="center" vertical="center" wrapText="1"/>
    </xf>
    <xf numFmtId="188" fontId="10" fillId="10" borderId="10" xfId="0" applyNumberFormat="1" applyFont="1" applyFill="1" applyBorder="1" applyAlignment="1">
      <alignment horizontal="center" vertical="center" wrapText="1"/>
    </xf>
    <xf numFmtId="190" fontId="10" fillId="42" borderId="10" xfId="0" applyNumberFormat="1" applyFont="1" applyFill="1" applyBorder="1" applyAlignment="1">
      <alignment horizontal="center" vertical="center" wrapText="1"/>
    </xf>
    <xf numFmtId="190" fontId="0" fillId="0" borderId="0" xfId="0" applyNumberFormat="1" applyFont="1" applyFill="1" applyAlignment="1">
      <alignment horizontal="center" vertical="center"/>
    </xf>
    <xf numFmtId="190" fontId="3" fillId="0" borderId="10" xfId="0" applyNumberFormat="1" applyFont="1" applyFill="1" applyBorder="1" applyAlignment="1">
      <alignment horizontal="center" vertical="center" wrapText="1"/>
    </xf>
    <xf numFmtId="0" fontId="3" fillId="42" borderId="10" xfId="0" applyFont="1" applyFill="1" applyBorder="1" applyAlignment="1">
      <alignment vertical="center" wrapText="1"/>
    </xf>
    <xf numFmtId="0" fontId="33" fillId="0" borderId="10" xfId="0" applyFont="1" applyFill="1" applyBorder="1" applyAlignment="1">
      <alignment vertical="top" wrapText="1"/>
    </xf>
    <xf numFmtId="0" fontId="39" fillId="0" borderId="10" xfId="0" applyFont="1" applyFill="1" applyBorder="1" applyAlignment="1">
      <alignment vertical="center" wrapText="1"/>
    </xf>
    <xf numFmtId="0" fontId="36" fillId="0" borderId="10" xfId="0" applyFont="1" applyFill="1" applyBorder="1" applyAlignment="1">
      <alignment vertical="top" wrapText="1"/>
    </xf>
    <xf numFmtId="0" fontId="10" fillId="42" borderId="10" xfId="0" applyFont="1" applyFill="1" applyBorder="1" applyAlignment="1">
      <alignment vertical="center" wrapText="1"/>
    </xf>
    <xf numFmtId="190" fontId="23" fillId="44" borderId="0" xfId="0" applyNumberFormat="1" applyFont="1" applyFill="1" applyAlignment="1">
      <alignment/>
    </xf>
    <xf numFmtId="0" fontId="0" fillId="0" borderId="0" xfId="0" applyFont="1" applyFill="1" applyAlignment="1">
      <alignment/>
    </xf>
    <xf numFmtId="190" fontId="9" fillId="36" borderId="0" xfId="0" applyNumberFormat="1" applyFont="1" applyFill="1" applyAlignment="1">
      <alignment/>
    </xf>
    <xf numFmtId="183" fontId="23" fillId="49" borderId="0" xfId="0" applyNumberFormat="1" applyFont="1" applyFill="1" applyAlignment="1">
      <alignment/>
    </xf>
    <xf numFmtId="190" fontId="25"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190" fontId="10" fillId="35" borderId="0" xfId="0" applyNumberFormat="1" applyFont="1" applyFill="1" applyAlignment="1">
      <alignment/>
    </xf>
    <xf numFmtId="190" fontId="3" fillId="44" borderId="10" xfId="0" applyNumberFormat="1" applyFont="1" applyFill="1" applyBorder="1" applyAlignment="1">
      <alignment horizontal="center" vertical="center" wrapText="1"/>
    </xf>
    <xf numFmtId="190" fontId="10" fillId="44" borderId="10" xfId="0" applyNumberFormat="1" applyFont="1" applyFill="1" applyBorder="1" applyAlignment="1">
      <alignment horizontal="center" vertical="center" wrapText="1"/>
    </xf>
    <xf numFmtId="49" fontId="9" fillId="50" borderId="10" xfId="0" applyNumberFormat="1" applyFont="1" applyFill="1" applyBorder="1" applyAlignment="1">
      <alignment horizontal="center" vertical="center" wrapText="1" shrinkToFit="1"/>
    </xf>
    <xf numFmtId="190" fontId="9" fillId="50" borderId="10" xfId="0" applyNumberFormat="1" applyFont="1" applyFill="1" applyBorder="1" applyAlignment="1">
      <alignment horizontal="center" vertical="center" wrapText="1"/>
    </xf>
    <xf numFmtId="190" fontId="26" fillId="34" borderId="0" xfId="0" applyNumberFormat="1" applyFont="1" applyFill="1" applyAlignment="1">
      <alignment/>
    </xf>
    <xf numFmtId="0" fontId="9" fillId="51" borderId="10" xfId="0" applyFont="1" applyFill="1" applyBorder="1" applyAlignment="1">
      <alignment vertical="center" wrapText="1"/>
    </xf>
    <xf numFmtId="49" fontId="9" fillId="51" borderId="10" xfId="0" applyNumberFormat="1" applyFont="1" applyFill="1" applyBorder="1" applyAlignment="1">
      <alignment horizontal="center" vertical="center" wrapText="1"/>
    </xf>
    <xf numFmtId="49" fontId="9" fillId="51" borderId="10" xfId="0" applyNumberFormat="1" applyFont="1" applyFill="1" applyBorder="1" applyAlignment="1">
      <alignment horizontal="center" vertical="center" wrapText="1" shrinkToFit="1"/>
    </xf>
    <xf numFmtId="0" fontId="29" fillId="4" borderId="10" xfId="0" applyFont="1" applyFill="1" applyBorder="1" applyAlignment="1">
      <alignment vertical="center" wrapText="1"/>
    </xf>
    <xf numFmtId="49" fontId="29" fillId="4" borderId="10" xfId="0" applyNumberFormat="1" applyFont="1" applyFill="1" applyBorder="1" applyAlignment="1">
      <alignment horizontal="center" vertical="center" wrapText="1" shrinkToFit="1"/>
    </xf>
    <xf numFmtId="190" fontId="29" fillId="4" borderId="10" xfId="0" applyNumberFormat="1" applyFont="1" applyFill="1" applyBorder="1" applyAlignment="1">
      <alignment horizontal="center" vertical="center" wrapText="1"/>
    </xf>
    <xf numFmtId="0" fontId="35" fillId="6" borderId="10" xfId="0" applyFont="1" applyFill="1" applyBorder="1" applyAlignment="1">
      <alignment vertical="top" wrapText="1"/>
    </xf>
    <xf numFmtId="49" fontId="35" fillId="6" borderId="10" xfId="0" applyNumberFormat="1" applyFont="1" applyFill="1" applyBorder="1" applyAlignment="1">
      <alignment horizontal="center" vertical="center" wrapText="1"/>
    </xf>
    <xf numFmtId="49" fontId="35" fillId="6" borderId="10" xfId="0" applyNumberFormat="1" applyFont="1" applyFill="1" applyBorder="1" applyAlignment="1">
      <alignment horizontal="center" vertical="center" wrapText="1" shrinkToFit="1"/>
    </xf>
    <xf numFmtId="190" fontId="35" fillId="6" borderId="10" xfId="0" applyNumberFormat="1" applyFont="1" applyFill="1" applyBorder="1" applyAlignment="1">
      <alignment horizontal="center" vertical="center" wrapText="1"/>
    </xf>
    <xf numFmtId="190" fontId="29" fillId="6" borderId="10" xfId="0" applyNumberFormat="1" applyFont="1" applyFill="1" applyBorder="1" applyAlignment="1">
      <alignment horizontal="center" vertical="center" wrapText="1"/>
    </xf>
    <xf numFmtId="49" fontId="29" fillId="6" borderId="10" xfId="0" applyNumberFormat="1" applyFont="1" applyFill="1" applyBorder="1" applyAlignment="1">
      <alignment horizontal="center" vertical="center" wrapText="1" shrinkToFit="1"/>
    </xf>
    <xf numFmtId="49" fontId="10" fillId="41" borderId="10" xfId="0" applyNumberFormat="1" applyFont="1" applyFill="1" applyBorder="1" applyAlignment="1">
      <alignment horizontal="center" vertical="center" wrapText="1" shrinkToFit="1"/>
    </xf>
    <xf numFmtId="190" fontId="10" fillId="4" borderId="10" xfId="0" applyNumberFormat="1" applyFont="1" applyFill="1" applyBorder="1" applyAlignment="1">
      <alignment horizontal="center" vertical="center" wrapText="1"/>
    </xf>
    <xf numFmtId="190" fontId="10" fillId="4"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top" wrapText="1"/>
    </xf>
    <xf numFmtId="0" fontId="9" fillId="50" borderId="10" xfId="0" applyFont="1" applyFill="1" applyBorder="1" applyAlignment="1">
      <alignment vertical="top" wrapText="1"/>
    </xf>
    <xf numFmtId="0" fontId="29" fillId="44" borderId="10" xfId="0" applyFont="1" applyFill="1" applyBorder="1" applyAlignment="1">
      <alignment vertical="center" wrapText="1"/>
    </xf>
    <xf numFmtId="190" fontId="10" fillId="0" borderId="0" xfId="0" applyNumberFormat="1" applyFont="1" applyFill="1" applyBorder="1" applyAlignment="1">
      <alignment horizontal="center" vertical="center"/>
    </xf>
    <xf numFmtId="49" fontId="29" fillId="39" borderId="10" xfId="0" applyNumberFormat="1" applyFont="1" applyFill="1" applyBorder="1" applyAlignment="1">
      <alignment horizontal="center" vertical="center" wrapText="1"/>
    </xf>
    <xf numFmtId="190" fontId="35" fillId="4" borderId="10" xfId="0" applyNumberFormat="1" applyFont="1" applyFill="1" applyBorder="1" applyAlignment="1">
      <alignment horizontal="center" vertical="center" wrapText="1"/>
    </xf>
    <xf numFmtId="49" fontId="10" fillId="4" borderId="10" xfId="0" applyNumberFormat="1" applyFont="1" applyFill="1" applyBorder="1" applyAlignment="1">
      <alignment horizontal="center" vertical="center" wrapText="1" shrinkToFit="1"/>
    </xf>
    <xf numFmtId="49" fontId="35" fillId="4" borderId="10" xfId="0" applyNumberFormat="1" applyFont="1" applyFill="1" applyBorder="1" applyAlignment="1">
      <alignment horizontal="center" vertical="center" wrapText="1" shrinkToFit="1"/>
    </xf>
    <xf numFmtId="0" fontId="29" fillId="6" borderId="10" xfId="0" applyFont="1" applyFill="1" applyBorder="1" applyAlignment="1">
      <alignment vertical="center" wrapText="1"/>
    </xf>
    <xf numFmtId="0" fontId="10" fillId="44" borderId="10" xfId="0" applyFont="1" applyFill="1" applyBorder="1" applyAlignment="1">
      <alignment vertical="center" wrapText="1"/>
    </xf>
    <xf numFmtId="0" fontId="10" fillId="44" borderId="10" xfId="0" applyFont="1" applyFill="1" applyBorder="1" applyAlignment="1">
      <alignment vertical="top" wrapText="1"/>
    </xf>
    <xf numFmtId="0" fontId="10" fillId="52" borderId="10" xfId="0" applyFont="1" applyFill="1" applyBorder="1" applyAlignment="1">
      <alignment vertical="center" wrapText="1"/>
    </xf>
    <xf numFmtId="0" fontId="29" fillId="6" borderId="10" xfId="0" applyFont="1" applyFill="1" applyBorder="1" applyAlignment="1">
      <alignment vertical="top" wrapText="1"/>
    </xf>
    <xf numFmtId="0" fontId="29" fillId="4" borderId="10" xfId="0" applyFont="1" applyFill="1" applyBorder="1" applyAlignment="1">
      <alignment vertical="top" wrapText="1"/>
    </xf>
    <xf numFmtId="0" fontId="35" fillId="0" borderId="10" xfId="0" applyFont="1" applyFill="1" applyBorder="1" applyAlignment="1">
      <alignment horizontal="left" vertical="top" wrapText="1"/>
    </xf>
    <xf numFmtId="0" fontId="35" fillId="4" borderId="10" xfId="0" applyFont="1" applyFill="1" applyBorder="1" applyAlignment="1">
      <alignment vertical="center" wrapText="1"/>
    </xf>
    <xf numFmtId="0" fontId="10" fillId="4" borderId="10" xfId="0" applyFont="1" applyFill="1" applyBorder="1" applyAlignment="1">
      <alignment vertical="center" wrapText="1"/>
    </xf>
    <xf numFmtId="0" fontId="10" fillId="42" borderId="10" xfId="0" applyFont="1" applyFill="1" applyBorder="1" applyAlignment="1">
      <alignment vertical="top" wrapText="1"/>
    </xf>
    <xf numFmtId="49" fontId="10" fillId="4" borderId="10" xfId="0" applyNumberFormat="1" applyFont="1" applyFill="1" applyBorder="1" applyAlignment="1">
      <alignment horizontal="center" vertical="center" wrapText="1"/>
    </xf>
    <xf numFmtId="49" fontId="10" fillId="42" borderId="10" xfId="0" applyNumberFormat="1" applyFont="1" applyFill="1" applyBorder="1" applyAlignment="1">
      <alignment horizontal="center" vertical="top" wrapText="1"/>
    </xf>
    <xf numFmtId="49" fontId="3" fillId="4" borderId="10" xfId="0" applyNumberFormat="1" applyFont="1" applyFill="1" applyBorder="1" applyAlignment="1">
      <alignment horizontal="center" vertical="center" wrapText="1" shrinkToFi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xf>
    <xf numFmtId="0" fontId="7" fillId="40" borderId="0" xfId="0" applyFont="1" applyFill="1" applyAlignment="1">
      <alignment/>
    </xf>
    <xf numFmtId="188" fontId="7" fillId="40" borderId="0" xfId="0" applyNumberFormat="1" applyFont="1" applyFill="1" applyAlignment="1">
      <alignment/>
    </xf>
    <xf numFmtId="0" fontId="7" fillId="34" borderId="0" xfId="0" applyFont="1" applyFill="1" applyAlignment="1">
      <alignment/>
    </xf>
    <xf numFmtId="188" fontId="7" fillId="34" borderId="0" xfId="0" applyNumberFormat="1" applyFont="1" applyFill="1" applyAlignment="1">
      <alignment/>
    </xf>
    <xf numFmtId="0" fontId="7" fillId="46" borderId="0" xfId="0" applyFont="1" applyFill="1" applyAlignment="1">
      <alignment/>
    </xf>
    <xf numFmtId="4" fontId="7" fillId="34" borderId="0" xfId="0" applyNumberFormat="1" applyFont="1" applyFill="1" applyAlignment="1">
      <alignment/>
    </xf>
    <xf numFmtId="190" fontId="7" fillId="34" borderId="0" xfId="0" applyNumberFormat="1" applyFont="1" applyFill="1" applyAlignment="1">
      <alignment/>
    </xf>
    <xf numFmtId="0" fontId="40" fillId="33" borderId="0" xfId="0" applyFont="1" applyFill="1" applyAlignment="1">
      <alignment/>
    </xf>
    <xf numFmtId="0" fontId="7" fillId="33" borderId="0" xfId="0" applyFont="1" applyFill="1" applyAlignment="1">
      <alignment/>
    </xf>
    <xf numFmtId="0" fontId="40" fillId="0" borderId="0" xfId="0" applyFont="1" applyFill="1" applyAlignment="1">
      <alignment/>
    </xf>
    <xf numFmtId="190" fontId="7" fillId="0" borderId="0" xfId="0" applyNumberFormat="1" applyFont="1" applyFill="1" applyAlignment="1">
      <alignment/>
    </xf>
    <xf numFmtId="0" fontId="40" fillId="41" borderId="0" xfId="0" applyFont="1" applyFill="1" applyAlignment="1">
      <alignment/>
    </xf>
    <xf numFmtId="0" fontId="7" fillId="41" borderId="0" xfId="0" applyFont="1" applyFill="1" applyAlignment="1">
      <alignment/>
    </xf>
    <xf numFmtId="0" fontId="13" fillId="34" borderId="0" xfId="0" applyFont="1" applyFill="1" applyAlignment="1">
      <alignment/>
    </xf>
    <xf numFmtId="190" fontId="13" fillId="34" borderId="0" xfId="0" applyNumberFormat="1" applyFont="1" applyFill="1" applyAlignment="1">
      <alignment/>
    </xf>
    <xf numFmtId="190" fontId="3" fillId="0" borderId="10" xfId="0" applyNumberFormat="1" applyFont="1" applyFill="1" applyBorder="1" applyAlignment="1">
      <alignment horizontal="right"/>
    </xf>
    <xf numFmtId="190" fontId="25" fillId="0" borderId="10" xfId="0" applyNumberFormat="1" applyFont="1" applyFill="1" applyBorder="1" applyAlignment="1">
      <alignment horizontal="right"/>
    </xf>
    <xf numFmtId="188" fontId="7" fillId="0" borderId="0" xfId="0" applyNumberFormat="1" applyFont="1" applyAlignment="1">
      <alignment/>
    </xf>
    <xf numFmtId="0" fontId="7" fillId="42" borderId="0" xfId="0" applyFont="1" applyFill="1" applyAlignment="1">
      <alignment/>
    </xf>
    <xf numFmtId="0" fontId="40" fillId="46" borderId="0" xfId="0" applyFont="1" applyFill="1" applyAlignment="1">
      <alignment/>
    </xf>
    <xf numFmtId="188" fontId="13" fillId="41" borderId="0" xfId="0" applyNumberFormat="1" applyFont="1" applyFill="1" applyAlignment="1">
      <alignment/>
    </xf>
    <xf numFmtId="188" fontId="7" fillId="46" borderId="0" xfId="0" applyNumberFormat="1" applyFont="1" applyFill="1" applyAlignment="1">
      <alignment/>
    </xf>
    <xf numFmtId="190" fontId="7" fillId="0" borderId="10" xfId="0" applyNumberFormat="1" applyFont="1" applyFill="1" applyBorder="1" applyAlignment="1">
      <alignment horizontal="right"/>
    </xf>
    <xf numFmtId="188" fontId="40" fillId="46" borderId="0" xfId="0" applyNumberFormat="1" applyFont="1" applyFill="1" applyAlignment="1">
      <alignment/>
    </xf>
    <xf numFmtId="188" fontId="7" fillId="42" borderId="0" xfId="0" applyNumberFormat="1" applyFont="1" applyFill="1" applyAlignment="1">
      <alignment/>
    </xf>
    <xf numFmtId="188" fontId="7" fillId="0" borderId="0" xfId="0" applyNumberFormat="1" applyFont="1" applyFill="1" applyAlignment="1">
      <alignment/>
    </xf>
    <xf numFmtId="188" fontId="7" fillId="41" borderId="0" xfId="0" applyNumberFormat="1" applyFont="1" applyFill="1" applyAlignment="1">
      <alignment/>
    </xf>
    <xf numFmtId="190" fontId="7" fillId="0" borderId="0" xfId="0" applyNumberFormat="1" applyFont="1" applyAlignment="1">
      <alignment/>
    </xf>
    <xf numFmtId="190" fontId="7" fillId="37" borderId="10" xfId="0" applyNumberFormat="1" applyFont="1" applyFill="1" applyBorder="1" applyAlignment="1">
      <alignment horizontal="right"/>
    </xf>
    <xf numFmtId="188" fontId="13" fillId="34" borderId="0" xfId="0" applyNumberFormat="1" applyFont="1" applyFill="1" applyAlignment="1">
      <alignment/>
    </xf>
    <xf numFmtId="188" fontId="40" fillId="0" borderId="0" xfId="0" applyNumberFormat="1" applyFont="1" applyFill="1" applyAlignment="1">
      <alignment/>
    </xf>
    <xf numFmtId="4" fontId="7" fillId="0" borderId="0" xfId="0" applyNumberFormat="1" applyFont="1" applyFill="1" applyAlignment="1">
      <alignment/>
    </xf>
    <xf numFmtId="192" fontId="7" fillId="0" borderId="0" xfId="0" applyNumberFormat="1" applyFont="1" applyAlignment="1">
      <alignment/>
    </xf>
    <xf numFmtId="183" fontId="7" fillId="0" borderId="0" xfId="0" applyNumberFormat="1" applyFont="1" applyAlignment="1">
      <alignment/>
    </xf>
    <xf numFmtId="4" fontId="7" fillId="46" borderId="0" xfId="0" applyNumberFormat="1" applyFont="1" applyFill="1" applyAlignment="1">
      <alignment/>
    </xf>
    <xf numFmtId="0" fontId="13" fillId="0" borderId="0" xfId="0" applyFont="1" applyAlignment="1">
      <alignment/>
    </xf>
    <xf numFmtId="0" fontId="13" fillId="46" borderId="0" xfId="0" applyFont="1" applyFill="1" applyAlignment="1">
      <alignment/>
    </xf>
    <xf numFmtId="190" fontId="32" fillId="4" borderId="10" xfId="0" applyNumberFormat="1" applyFont="1" applyFill="1" applyBorder="1" applyAlignment="1">
      <alignment horizontal="center" vertical="center" wrapText="1"/>
    </xf>
    <xf numFmtId="183" fontId="7" fillId="0" borderId="0" xfId="0" applyNumberFormat="1" applyFont="1" applyFill="1" applyAlignment="1">
      <alignment/>
    </xf>
    <xf numFmtId="49" fontId="7" fillId="0" borderId="0" xfId="0" applyNumberFormat="1" applyFont="1" applyFill="1" applyAlignment="1">
      <alignment/>
    </xf>
    <xf numFmtId="49" fontId="41" fillId="0" borderId="0" xfId="0" applyNumberFormat="1" applyFont="1" applyFill="1" applyAlignment="1">
      <alignment/>
    </xf>
    <xf numFmtId="190" fontId="7" fillId="46" borderId="0" xfId="0" applyNumberFormat="1" applyFont="1" applyFill="1" applyAlignment="1">
      <alignment/>
    </xf>
    <xf numFmtId="4" fontId="40" fillId="0" borderId="0" xfId="0" applyNumberFormat="1" applyFont="1" applyFill="1" applyAlignment="1">
      <alignment/>
    </xf>
    <xf numFmtId="0" fontId="40" fillId="0" borderId="0" xfId="0" applyFont="1" applyAlignment="1">
      <alignment/>
    </xf>
    <xf numFmtId="0" fontId="42" fillId="0" borderId="0" xfId="0" applyFont="1" applyFill="1" applyAlignment="1">
      <alignment/>
    </xf>
    <xf numFmtId="188" fontId="42" fillId="0" borderId="0" xfId="0" applyNumberFormat="1" applyFont="1" applyFill="1" applyAlignment="1">
      <alignment/>
    </xf>
    <xf numFmtId="182" fontId="40" fillId="0" borderId="0" xfId="0" applyNumberFormat="1" applyFont="1" applyFill="1" applyAlignment="1">
      <alignment/>
    </xf>
    <xf numFmtId="182" fontId="7" fillId="46" borderId="0" xfId="0" applyNumberFormat="1" applyFont="1" applyFill="1" applyAlignment="1">
      <alignment/>
    </xf>
    <xf numFmtId="49" fontId="25" fillId="33" borderId="0" xfId="0" applyNumberFormat="1" applyFont="1" applyFill="1" applyBorder="1" applyAlignment="1">
      <alignment horizontal="center" vertical="center" wrapText="1" shrinkToFit="1"/>
    </xf>
    <xf numFmtId="0" fontId="13" fillId="0" borderId="0" xfId="0" applyFont="1" applyFill="1" applyAlignment="1">
      <alignment/>
    </xf>
    <xf numFmtId="194" fontId="7" fillId="0" borderId="0" xfId="0" applyNumberFormat="1" applyFont="1" applyFill="1" applyAlignment="1">
      <alignment/>
    </xf>
    <xf numFmtId="0" fontId="43" fillId="0" borderId="0" xfId="0" applyFont="1" applyFill="1" applyAlignment="1">
      <alignment/>
    </xf>
    <xf numFmtId="0" fontId="3" fillId="44" borderId="10" xfId="0" applyFont="1" applyFill="1" applyBorder="1" applyAlignment="1">
      <alignment vertical="center" wrapText="1"/>
    </xf>
    <xf numFmtId="49" fontId="3" fillId="44" borderId="10" xfId="0" applyNumberFormat="1" applyFont="1" applyFill="1" applyBorder="1" applyAlignment="1">
      <alignment horizontal="center" vertical="center" wrapText="1" shrinkToFit="1"/>
    </xf>
    <xf numFmtId="0" fontId="3" fillId="44" borderId="10" xfId="0" applyFont="1" applyFill="1" applyBorder="1" applyAlignment="1">
      <alignment vertical="top" wrapText="1"/>
    </xf>
    <xf numFmtId="188" fontId="13" fillId="0" borderId="0" xfId="0" applyNumberFormat="1" applyFont="1" applyFill="1" applyAlignment="1">
      <alignment/>
    </xf>
    <xf numFmtId="0" fontId="32" fillId="4" borderId="10" xfId="0" applyFont="1" applyFill="1" applyBorder="1" applyAlignment="1">
      <alignment vertical="center" wrapText="1"/>
    </xf>
    <xf numFmtId="49" fontId="32" fillId="4" borderId="10" xfId="0" applyNumberFormat="1"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wrapText="1"/>
    </xf>
    <xf numFmtId="49" fontId="9" fillId="40" borderId="10" xfId="0" applyNumberFormat="1"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xf numFmtId="49" fontId="35" fillId="42" borderId="10" xfId="0" applyNumberFormat="1" applyFont="1" applyFill="1" applyBorder="1" applyAlignment="1">
      <alignment horizontal="center" vertical="center" wrapText="1"/>
    </xf>
    <xf numFmtId="49" fontId="35" fillId="42" borderId="10" xfId="0" applyNumberFormat="1" applyFont="1" applyFill="1" applyBorder="1" applyAlignment="1">
      <alignment horizontal="center" vertical="center" wrapText="1" shrinkToFit="1"/>
    </xf>
    <xf numFmtId="49" fontId="10" fillId="40" borderId="10" xfId="0" applyNumberFormat="1" applyFont="1" applyFill="1" applyBorder="1" applyAlignment="1">
      <alignment horizontal="center" vertical="center" wrapText="1"/>
    </xf>
    <xf numFmtId="49" fontId="29" fillId="44" borderId="10" xfId="0" applyNumberFormat="1" applyFont="1" applyFill="1" applyBorder="1" applyAlignment="1">
      <alignment horizontal="center" vertical="center" wrapText="1"/>
    </xf>
    <xf numFmtId="49" fontId="10" fillId="37" borderId="10" xfId="0" applyNumberFormat="1" applyFont="1" applyFill="1" applyBorder="1" applyAlignment="1">
      <alignment horizontal="center" vertical="center" wrapText="1"/>
    </xf>
    <xf numFmtId="49" fontId="29" fillId="6" borderId="10" xfId="0" applyNumberFormat="1" applyFont="1" applyFill="1" applyBorder="1" applyAlignment="1">
      <alignment horizontal="center" vertical="center" wrapText="1"/>
    </xf>
    <xf numFmtId="49" fontId="29" fillId="4" borderId="10" xfId="0" applyNumberFormat="1" applyFont="1" applyFill="1" applyBorder="1" applyAlignment="1">
      <alignment horizontal="center" vertical="center" wrapText="1"/>
    </xf>
    <xf numFmtId="49" fontId="10" fillId="39" borderId="10" xfId="0" applyNumberFormat="1" applyFont="1" applyFill="1" applyBorder="1" applyAlignment="1">
      <alignment horizontal="center" vertical="center" wrapText="1" shrinkToFit="1"/>
    </xf>
    <xf numFmtId="49" fontId="9" fillId="34" borderId="10" xfId="0" applyNumberFormat="1" applyFont="1" applyFill="1" applyBorder="1" applyAlignment="1">
      <alignment horizontal="center" vertical="center" wrapText="1" shrinkToFit="1"/>
    </xf>
    <xf numFmtId="49" fontId="10" fillId="44" borderId="10" xfId="0" applyNumberFormat="1" applyFont="1" applyFill="1" applyBorder="1" applyAlignment="1">
      <alignment horizontal="center" vertical="center" wrapText="1"/>
    </xf>
    <xf numFmtId="49" fontId="10" fillId="44" borderId="10" xfId="0" applyNumberFormat="1" applyFont="1" applyFill="1" applyBorder="1" applyAlignment="1">
      <alignment horizontal="center" vertical="center" wrapText="1" shrinkToFit="1"/>
    </xf>
    <xf numFmtId="190" fontId="10" fillId="44" borderId="10" xfId="0" applyNumberFormat="1" applyFont="1" applyFill="1" applyBorder="1" applyAlignment="1">
      <alignment horizontal="center" vertical="center" wrapText="1"/>
    </xf>
    <xf numFmtId="49" fontId="29" fillId="43" borderId="10" xfId="0" applyNumberFormat="1" applyFont="1" applyFill="1" applyBorder="1" applyAlignment="1">
      <alignment horizontal="center" vertical="center" wrapText="1"/>
    </xf>
    <xf numFmtId="49" fontId="29" fillId="43" borderId="10" xfId="0" applyNumberFormat="1" applyFont="1" applyFill="1" applyBorder="1" applyAlignment="1">
      <alignment horizontal="center" vertical="center" wrapText="1" shrinkToFit="1"/>
    </xf>
    <xf numFmtId="49" fontId="10" fillId="43" borderId="10" xfId="0" applyNumberFormat="1" applyFont="1" applyFill="1" applyBorder="1" applyAlignment="1">
      <alignment horizontal="center" vertical="center" wrapText="1"/>
    </xf>
    <xf numFmtId="49" fontId="10" fillId="43" borderId="10"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shrinkToFit="1"/>
    </xf>
    <xf numFmtId="49" fontId="10" fillId="33" borderId="10" xfId="0" applyNumberFormat="1" applyFont="1" applyFill="1" applyBorder="1" applyAlignment="1">
      <alignment horizontal="center" vertical="center" wrapText="1" shrinkToFit="1"/>
    </xf>
    <xf numFmtId="49" fontId="35" fillId="4" borderId="10" xfId="0" applyNumberFormat="1" applyFont="1" applyFill="1" applyBorder="1" applyAlignment="1">
      <alignment horizontal="center" vertical="center" wrapText="1"/>
    </xf>
    <xf numFmtId="49" fontId="10" fillId="37" borderId="10" xfId="0" applyNumberFormat="1" applyFont="1" applyFill="1" applyBorder="1" applyAlignment="1">
      <alignment horizontal="center" vertical="center" wrapText="1"/>
    </xf>
    <xf numFmtId="49" fontId="10" fillId="4" borderId="10" xfId="0" applyNumberFormat="1" applyFont="1" applyFill="1" applyBorder="1" applyAlignment="1">
      <alignment horizontal="center" vertical="center" wrapText="1"/>
    </xf>
    <xf numFmtId="49" fontId="29" fillId="37" borderId="10" xfId="0" applyNumberFormat="1" applyFont="1" applyFill="1" applyBorder="1" applyAlignment="1">
      <alignment horizontal="center" vertical="center" wrapText="1" shrinkToFit="1"/>
    </xf>
    <xf numFmtId="49" fontId="10" fillId="41"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10" fillId="40"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49" fontId="9" fillId="40" borderId="10" xfId="0" applyNumberFormat="1" applyFont="1" applyFill="1" applyBorder="1" applyAlignment="1">
      <alignment horizontal="center" vertical="center" wrapText="1" shrinkToFit="1"/>
    </xf>
    <xf numFmtId="49" fontId="9" fillId="34" borderId="10" xfId="0" applyNumberFormat="1" applyFont="1" applyFill="1" applyBorder="1" applyAlignment="1">
      <alignment horizontal="center" vertical="center" wrapText="1"/>
    </xf>
    <xf numFmtId="49" fontId="9" fillId="42" borderId="10" xfId="0" applyNumberFormat="1" applyFont="1" applyFill="1" applyBorder="1" applyAlignment="1">
      <alignment/>
    </xf>
    <xf numFmtId="49" fontId="10" fillId="0" borderId="10" xfId="0" applyNumberFormat="1" applyFont="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Alignment="1">
      <alignment horizontal="center"/>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0" fontId="2" fillId="47" borderId="10" xfId="0" applyFont="1" applyFill="1" applyBorder="1" applyAlignment="1">
      <alignment horizontal="center" vertical="center" wrapText="1"/>
    </xf>
    <xf numFmtId="0" fontId="30" fillId="47" borderId="10" xfId="0" applyFont="1" applyFill="1" applyBorder="1" applyAlignment="1">
      <alignment horizontal="center" vertical="center" wrapText="1"/>
    </xf>
    <xf numFmtId="188" fontId="10" fillId="42" borderId="0" xfId="0" applyNumberFormat="1" applyFont="1" applyFill="1" applyAlignment="1">
      <alignment/>
    </xf>
    <xf numFmtId="0" fontId="9" fillId="46" borderId="10" xfId="0" applyFont="1" applyFill="1" applyBorder="1" applyAlignment="1">
      <alignment vertical="top" wrapText="1"/>
    </xf>
    <xf numFmtId="0" fontId="9" fillId="46" borderId="10" xfId="0" applyFont="1" applyFill="1" applyBorder="1" applyAlignment="1">
      <alignment horizontal="center" vertical="top" wrapText="1"/>
    </xf>
    <xf numFmtId="49" fontId="9" fillId="46" borderId="10" xfId="0" applyNumberFormat="1" applyFont="1" applyFill="1" applyBorder="1" applyAlignment="1">
      <alignment horizontal="center" vertical="top" wrapText="1"/>
    </xf>
    <xf numFmtId="0" fontId="10" fillId="42" borderId="10" xfId="0" applyFont="1" applyFill="1" applyBorder="1" applyAlignment="1">
      <alignment horizontal="center" vertical="top" wrapText="1"/>
    </xf>
    <xf numFmtId="0" fontId="10" fillId="42"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0" fillId="0" borderId="0" xfId="0" applyFont="1" applyAlignment="1">
      <alignment horizontal="center"/>
    </xf>
    <xf numFmtId="0" fontId="35" fillId="0" borderId="10" xfId="0" applyFont="1" applyFill="1" applyBorder="1" applyAlignment="1">
      <alignment horizontal="center" vertical="center" wrapText="1"/>
    </xf>
    <xf numFmtId="190" fontId="35" fillId="0" borderId="10" xfId="63" applyNumberFormat="1" applyFont="1" applyFill="1" applyBorder="1" applyAlignment="1">
      <alignment horizontal="center" vertical="center" wrapText="1"/>
    </xf>
    <xf numFmtId="0" fontId="7" fillId="0" borderId="0" xfId="0" applyFont="1" applyAlignment="1">
      <alignment vertical="center"/>
    </xf>
    <xf numFmtId="190" fontId="7" fillId="0" borderId="0" xfId="0" applyNumberFormat="1" applyFont="1" applyFill="1" applyAlignment="1">
      <alignment vertical="center"/>
    </xf>
    <xf numFmtId="0" fontId="7" fillId="0" borderId="0" xfId="0" applyFont="1" applyFill="1" applyAlignment="1">
      <alignment vertical="center"/>
    </xf>
    <xf numFmtId="190" fontId="10" fillId="42" borderId="10" xfId="0" applyNumberFormat="1" applyFont="1" applyFill="1" applyBorder="1" applyAlignment="1">
      <alignment horizontal="center" vertical="top"/>
    </xf>
    <xf numFmtId="190" fontId="40"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90" fontId="40" fillId="46" borderId="0" xfId="0" applyNumberFormat="1" applyFont="1" applyFill="1" applyAlignment="1">
      <alignment/>
    </xf>
    <xf numFmtId="0" fontId="40" fillId="46" borderId="0" xfId="0" applyFont="1" applyFill="1" applyAlignment="1">
      <alignment horizontal="center" vertical="center"/>
    </xf>
    <xf numFmtId="0" fontId="7" fillId="46" borderId="0" xfId="0" applyFont="1" applyFill="1" applyAlignment="1">
      <alignment horizontal="center" vertical="center"/>
    </xf>
    <xf numFmtId="190" fontId="10" fillId="53" borderId="10" xfId="0" applyNumberFormat="1" applyFont="1" applyFill="1" applyBorder="1" applyAlignment="1">
      <alignment horizontal="center" vertical="center" wrapText="1"/>
    </xf>
    <xf numFmtId="188" fontId="16" fillId="0" borderId="0" xfId="0" applyNumberFormat="1" applyFont="1" applyFill="1" applyAlignment="1">
      <alignment/>
    </xf>
    <xf numFmtId="0" fontId="4" fillId="37" borderId="10" xfId="0" applyFont="1" applyFill="1" applyBorder="1" applyAlignment="1">
      <alignment horizontal="center" vertical="center" wrapText="1"/>
    </xf>
    <xf numFmtId="0" fontId="23" fillId="42" borderId="0" xfId="0" applyFont="1" applyFill="1" applyAlignment="1">
      <alignment/>
    </xf>
    <xf numFmtId="0" fontId="0" fillId="42" borderId="0" xfId="0" applyFont="1" applyFill="1" applyAlignment="1">
      <alignment/>
    </xf>
    <xf numFmtId="49" fontId="4" fillId="54" borderId="10" xfId="0" applyNumberFormat="1" applyFont="1" applyFill="1" applyBorder="1" applyAlignment="1">
      <alignment horizontal="center" vertical="center" wrapText="1" shrinkToFit="1"/>
    </xf>
    <xf numFmtId="49" fontId="9" fillId="39" borderId="10" xfId="0" applyNumberFormat="1" applyFont="1" applyFill="1" applyBorder="1" applyAlignment="1">
      <alignment horizontal="center" vertical="center" wrapText="1"/>
    </xf>
    <xf numFmtId="49" fontId="9" fillId="39" borderId="10" xfId="0" applyNumberFormat="1" applyFont="1" applyFill="1" applyBorder="1" applyAlignment="1">
      <alignment horizontal="center" vertical="center" wrapText="1" shrinkToFit="1"/>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horizontal="left" vertical="justify"/>
    </xf>
    <xf numFmtId="182" fontId="0" fillId="0" borderId="0" xfId="0" applyNumberFormat="1" applyFont="1" applyFill="1" applyAlignment="1">
      <alignment/>
    </xf>
    <xf numFmtId="183"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right"/>
    </xf>
    <xf numFmtId="49" fontId="29" fillId="42" borderId="10" xfId="0" applyNumberFormat="1" applyFont="1" applyFill="1" applyBorder="1" applyAlignment="1">
      <alignment horizontal="center" vertical="top" wrapText="1"/>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5" fillId="36" borderId="11" xfId="0" applyNumberFormat="1" applyFont="1" applyFill="1" applyBorder="1" applyAlignment="1">
      <alignment horizontal="center" vertical="center" wrapText="1"/>
    </xf>
    <xf numFmtId="4" fontId="25" fillId="36" borderId="10" xfId="0" applyNumberFormat="1" applyFont="1" applyFill="1" applyBorder="1" applyAlignment="1">
      <alignment horizontal="center" vertical="center" wrapText="1"/>
    </xf>
    <xf numFmtId="0" fontId="3" fillId="55" borderId="10" xfId="0" applyFont="1" applyFill="1" applyBorder="1" applyAlignment="1">
      <alignment vertical="center" wrapText="1"/>
    </xf>
    <xf numFmtId="49" fontId="3" fillId="55" borderId="10" xfId="0" applyNumberFormat="1" applyFont="1" applyFill="1" applyBorder="1" applyAlignment="1">
      <alignment horizontal="center" vertical="center" wrapText="1" shrinkToFit="1"/>
    </xf>
    <xf numFmtId="188" fontId="3" fillId="55" borderId="11" xfId="0" applyNumberFormat="1" applyFont="1" applyFill="1" applyBorder="1" applyAlignment="1">
      <alignment horizontal="center" vertical="center" wrapText="1"/>
    </xf>
    <xf numFmtId="49" fontId="10" fillId="10" borderId="10" xfId="0" applyNumberFormat="1" applyFont="1" applyFill="1" applyBorder="1" applyAlignment="1">
      <alignment horizontal="center" vertical="center" wrapText="1" shrinkToFit="1"/>
    </xf>
    <xf numFmtId="188" fontId="10" fillId="10" borderId="11"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88" fontId="9" fillId="10" borderId="11" xfId="0" applyNumberFormat="1" applyFont="1" applyFill="1" applyBorder="1" applyAlignment="1">
      <alignment horizontal="center" vertical="center" wrapText="1"/>
    </xf>
    <xf numFmtId="188" fontId="4" fillId="0" borderId="11"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49" fontId="3" fillId="42" borderId="10" xfId="0" applyNumberFormat="1" applyFont="1" applyFill="1" applyBorder="1" applyAlignment="1">
      <alignment horizontal="center" vertical="top" wrapText="1"/>
    </xf>
    <xf numFmtId="0" fontId="28" fillId="0" borderId="0" xfId="0" applyFont="1" applyFill="1" applyAlignment="1">
      <alignment horizontal="right"/>
    </xf>
    <xf numFmtId="182" fontId="23" fillId="0" borderId="0" xfId="0" applyNumberFormat="1" applyFont="1" applyAlignment="1">
      <alignment/>
    </xf>
    <xf numFmtId="190" fontId="23" fillId="0" borderId="0" xfId="0" applyNumberFormat="1" applyFont="1" applyAlignment="1">
      <alignment/>
    </xf>
    <xf numFmtId="0" fontId="23" fillId="0" borderId="0" xfId="0" applyFont="1" applyAlignment="1">
      <alignment horizontal="center" vertical="center"/>
    </xf>
    <xf numFmtId="190" fontId="23" fillId="0" borderId="0" xfId="0" applyNumberFormat="1" applyFont="1" applyAlignment="1">
      <alignment horizontal="center" vertical="center"/>
    </xf>
    <xf numFmtId="0" fontId="23" fillId="0" borderId="0" xfId="0" applyFont="1" applyAlignment="1">
      <alignment vertical="center"/>
    </xf>
    <xf numFmtId="0" fontId="10" fillId="43" borderId="10" xfId="0" applyFont="1" applyFill="1" applyBorder="1" applyAlignment="1">
      <alignment vertical="top" wrapText="1"/>
    </xf>
    <xf numFmtId="0" fontId="23" fillId="4" borderId="0" xfId="0" applyFont="1" applyFill="1" applyAlignment="1">
      <alignment/>
    </xf>
    <xf numFmtId="0" fontId="23" fillId="41" borderId="0" xfId="0" applyFont="1" applyFill="1" applyAlignment="1">
      <alignment/>
    </xf>
    <xf numFmtId="188" fontId="23" fillId="0" borderId="0" xfId="0" applyNumberFormat="1" applyFont="1" applyAlignment="1">
      <alignment/>
    </xf>
    <xf numFmtId="0" fontId="37" fillId="0" borderId="0" xfId="0" applyFont="1" applyAlignment="1">
      <alignment/>
    </xf>
    <xf numFmtId="190" fontId="23" fillId="0" borderId="0" xfId="0" applyNumberFormat="1" applyFont="1" applyFill="1" applyAlignment="1">
      <alignment horizontal="center" vertical="center"/>
    </xf>
    <xf numFmtId="0" fontId="23" fillId="44" borderId="0" xfId="0" applyFont="1" applyFill="1" applyAlignment="1">
      <alignment horizontal="left"/>
    </xf>
    <xf numFmtId="191" fontId="23" fillId="44" borderId="0" xfId="0" applyNumberFormat="1" applyFont="1" applyFill="1" applyAlignment="1">
      <alignment/>
    </xf>
    <xf numFmtId="190" fontId="10" fillId="6" borderId="10" xfId="0" applyNumberFormat="1" applyFont="1" applyFill="1" applyBorder="1" applyAlignment="1">
      <alignment horizontal="center" vertical="center" wrapText="1"/>
    </xf>
    <xf numFmtId="49" fontId="10" fillId="6" borderId="10" xfId="0" applyNumberFormat="1" applyFont="1" applyFill="1" applyBorder="1" applyAlignment="1">
      <alignment horizontal="center" vertical="center" wrapText="1" shrinkToFit="1"/>
    </xf>
    <xf numFmtId="0" fontId="35" fillId="37" borderId="10" xfId="0" applyFont="1" applyFill="1" applyBorder="1" applyAlignment="1">
      <alignment vertical="top" wrapText="1"/>
    </xf>
    <xf numFmtId="49" fontId="35" fillId="37" borderId="10" xfId="0" applyNumberFormat="1" applyFont="1" applyFill="1" applyBorder="1" applyAlignment="1">
      <alignment horizontal="center" vertical="center" wrapText="1"/>
    </xf>
    <xf numFmtId="49" fontId="35" fillId="37" borderId="10" xfId="0" applyNumberFormat="1" applyFont="1" applyFill="1" applyBorder="1" applyAlignment="1">
      <alignment horizontal="center" vertical="center" wrapText="1" shrinkToFit="1"/>
    </xf>
    <xf numFmtId="190" fontId="35" fillId="37" borderId="10" xfId="0" applyNumberFormat="1" applyFont="1" applyFill="1" applyBorder="1" applyAlignment="1">
      <alignment horizontal="center" vertical="center" wrapText="1"/>
    </xf>
    <xf numFmtId="0" fontId="38" fillId="0" borderId="0" xfId="0" applyFont="1" applyAlignment="1">
      <alignment/>
    </xf>
    <xf numFmtId="0" fontId="35" fillId="37" borderId="10" xfId="0" applyFont="1" applyFill="1" applyBorder="1" applyAlignment="1">
      <alignment vertical="center" wrapText="1"/>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190" fontId="10" fillId="42" borderId="10" xfId="63" applyNumberFormat="1" applyFont="1" applyFill="1" applyBorder="1" applyAlignment="1">
      <alignment horizontal="center" vertical="center" wrapText="1"/>
    </xf>
    <xf numFmtId="190" fontId="23" fillId="42" borderId="0" xfId="0" applyNumberFormat="1" applyFont="1" applyFill="1" applyAlignment="1">
      <alignment/>
    </xf>
    <xf numFmtId="190" fontId="25" fillId="42" borderId="10" xfId="0" applyNumberFormat="1" applyFont="1" applyFill="1" applyBorder="1" applyAlignment="1">
      <alignment horizontal="center" vertical="center" wrapText="1"/>
    </xf>
    <xf numFmtId="0" fontId="0" fillId="0" borderId="0" xfId="0" applyFont="1" applyFill="1" applyAlignment="1">
      <alignment vertical="center"/>
    </xf>
    <xf numFmtId="190" fontId="10" fillId="0" borderId="0" xfId="63" applyNumberFormat="1" applyFont="1" applyFill="1" applyBorder="1" applyAlignment="1">
      <alignment horizontal="center" vertical="center" wrapText="1"/>
    </xf>
    <xf numFmtId="190" fontId="0" fillId="0" borderId="0" xfId="0" applyNumberFormat="1" applyAlignment="1">
      <alignment/>
    </xf>
    <xf numFmtId="190" fontId="81"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center" vertical="center"/>
    </xf>
    <xf numFmtId="190" fontId="81" fillId="0" borderId="10" xfId="63" applyNumberFormat="1" applyFont="1" applyFill="1" applyBorder="1" applyAlignment="1">
      <alignment horizontal="center" vertical="center" wrapText="1"/>
    </xf>
    <xf numFmtId="49" fontId="44" fillId="0" borderId="0" xfId="0" applyNumberFormat="1" applyFont="1" applyFill="1" applyAlignment="1">
      <alignment/>
    </xf>
    <xf numFmtId="49" fontId="0" fillId="0" borderId="0" xfId="0" applyNumberFormat="1" applyFill="1" applyAlignment="1">
      <alignment/>
    </xf>
    <xf numFmtId="190" fontId="0" fillId="0" borderId="0" xfId="0" applyNumberFormat="1" applyFill="1" applyAlignment="1">
      <alignment/>
    </xf>
    <xf numFmtId="0" fontId="44" fillId="0" borderId="0" xfId="0" applyFont="1" applyFill="1" applyAlignment="1">
      <alignment horizontal="left"/>
    </xf>
    <xf numFmtId="0" fontId="0" fillId="0" borderId="0" xfId="0" applyFill="1" applyAlignment="1">
      <alignment horizontal="center"/>
    </xf>
    <xf numFmtId="0" fontId="44" fillId="33" borderId="0" xfId="0" applyFont="1" applyFill="1" applyAlignment="1">
      <alignment/>
    </xf>
    <xf numFmtId="190" fontId="31" fillId="0" borderId="0" xfId="0" applyNumberFormat="1" applyFont="1" applyFill="1" applyAlignment="1">
      <alignment/>
    </xf>
    <xf numFmtId="0" fontId="0" fillId="0" borderId="0" xfId="0" applyFill="1" applyAlignment="1">
      <alignment/>
    </xf>
    <xf numFmtId="190" fontId="0" fillId="0" borderId="0" xfId="0" applyNumberFormat="1" applyFont="1" applyFill="1" applyAlignment="1">
      <alignment/>
    </xf>
    <xf numFmtId="0" fontId="0" fillId="44" borderId="0" xfId="0" applyFill="1" applyAlignment="1">
      <alignment/>
    </xf>
    <xf numFmtId="0" fontId="81" fillId="0" borderId="10" xfId="0" applyFont="1" applyFill="1" applyBorder="1" applyAlignment="1">
      <alignment horizontal="center" vertical="center" wrapText="1"/>
    </xf>
    <xf numFmtId="190" fontId="35" fillId="0" borderId="10" xfId="0" applyNumberFormat="1" applyFont="1" applyFill="1" applyBorder="1" applyAlignment="1">
      <alignment horizontal="center" vertical="center" wrapText="1"/>
    </xf>
    <xf numFmtId="190" fontId="23" fillId="35" borderId="0" xfId="0" applyNumberFormat="1" applyFont="1" applyFill="1" applyAlignment="1">
      <alignment/>
    </xf>
    <xf numFmtId="190" fontId="20" fillId="0" borderId="10" xfId="0" applyNumberFormat="1" applyFont="1" applyFill="1" applyBorder="1" applyAlignment="1">
      <alignment horizontal="center" vertical="center" wrapText="1"/>
    </xf>
    <xf numFmtId="0" fontId="4" fillId="42" borderId="10" xfId="0" applyFont="1" applyFill="1" applyBorder="1" applyAlignment="1">
      <alignment vertical="top" wrapText="1"/>
    </xf>
    <xf numFmtId="49" fontId="4" fillId="42" borderId="10" xfId="0" applyNumberFormat="1" applyFont="1" applyFill="1" applyBorder="1" applyAlignment="1">
      <alignment horizontal="center" vertical="center" wrapText="1" shrinkToFit="1"/>
    </xf>
    <xf numFmtId="0" fontId="25" fillId="42" borderId="10" xfId="0" applyFont="1" applyFill="1" applyBorder="1" applyAlignment="1">
      <alignment vertical="top" wrapText="1"/>
    </xf>
    <xf numFmtId="49" fontId="25" fillId="42" borderId="10" xfId="0" applyNumberFormat="1" applyFont="1" applyFill="1" applyBorder="1" applyAlignment="1">
      <alignment horizontal="center" vertical="center" wrapText="1" shrinkToFit="1"/>
    </xf>
    <xf numFmtId="0" fontId="9" fillId="42" borderId="10" xfId="0" applyFont="1" applyFill="1" applyBorder="1" applyAlignment="1">
      <alignment vertical="top" wrapText="1"/>
    </xf>
    <xf numFmtId="49" fontId="9" fillId="42"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49" fontId="29" fillId="56" borderId="10" xfId="0" applyNumberFormat="1" applyFont="1" applyFill="1" applyBorder="1" applyAlignment="1">
      <alignment horizontal="center" vertical="center" wrapText="1"/>
    </xf>
    <xf numFmtId="0" fontId="29" fillId="56" borderId="10" xfId="0" applyFont="1" applyFill="1" applyBorder="1" applyAlignment="1">
      <alignment vertical="top" wrapText="1"/>
    </xf>
    <xf numFmtId="49" fontId="29" fillId="56" borderId="10" xfId="0" applyNumberFormat="1" applyFont="1" applyFill="1" applyBorder="1" applyAlignment="1">
      <alignment horizontal="center" vertical="center" wrapText="1" shrinkToFit="1"/>
    </xf>
    <xf numFmtId="190" fontId="29" fillId="56" borderId="10" xfId="0" applyNumberFormat="1" applyFont="1" applyFill="1" applyBorder="1" applyAlignment="1">
      <alignment horizontal="center" vertical="center" wrapText="1"/>
    </xf>
    <xf numFmtId="190" fontId="10" fillId="57" borderId="10" xfId="0" applyNumberFormat="1" applyFont="1" applyFill="1" applyBorder="1" applyAlignment="1">
      <alignment horizontal="center" vertical="center" wrapText="1"/>
    </xf>
    <xf numFmtId="190" fontId="82" fillId="0" borderId="10" xfId="0" applyNumberFormat="1" applyFont="1" applyFill="1" applyBorder="1" applyAlignment="1">
      <alignment horizontal="center" vertical="center" wrapText="1"/>
    </xf>
    <xf numFmtId="170" fontId="3" fillId="0" borderId="0" xfId="43" applyFont="1" applyAlignment="1">
      <alignment horizontal="right"/>
    </xf>
    <xf numFmtId="0" fontId="3" fillId="0" borderId="0" xfId="0" applyFont="1" applyAlignment="1">
      <alignment horizontal="right"/>
    </xf>
    <xf numFmtId="0" fontId="6" fillId="37" borderId="0" xfId="0" applyFont="1" applyFill="1" applyBorder="1" applyAlignment="1">
      <alignment horizontal="center" vertical="justify" wrapText="1"/>
    </xf>
    <xf numFmtId="0" fontId="3" fillId="37"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3" fillId="0" borderId="0" xfId="0" applyFont="1" applyFill="1" applyAlignment="1">
      <alignment horizontal="right"/>
    </xf>
    <xf numFmtId="0" fontId="0" fillId="0" borderId="0" xfId="0" applyFont="1" applyFill="1" applyAlignment="1">
      <alignment/>
    </xf>
    <xf numFmtId="0" fontId="3" fillId="0" borderId="0" xfId="0" applyFont="1" applyFill="1" applyAlignment="1">
      <alignment horizontal="right"/>
    </xf>
    <xf numFmtId="0" fontId="6" fillId="0" borderId="0" xfId="0" applyFont="1" applyFill="1" applyAlignment="1">
      <alignment horizontal="center" vertical="justify" wrapText="1"/>
    </xf>
    <xf numFmtId="0" fontId="0" fillId="0" borderId="0" xfId="0" applyFont="1" applyFill="1" applyAlignment="1">
      <alignment horizontal="center"/>
    </xf>
    <xf numFmtId="49" fontId="2" fillId="0" borderId="12" xfId="0" applyNumberFormat="1" applyFont="1" applyFill="1" applyBorder="1" applyAlignment="1">
      <alignment horizont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justify" wrapText="1"/>
    </xf>
    <xf numFmtId="0" fontId="0"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0" fillId="42" borderId="10" xfId="0" applyFont="1" applyFill="1" applyBorder="1" applyAlignment="1">
      <alignment horizontal="center" vertical="center" wrapText="1"/>
    </xf>
    <xf numFmtId="0" fontId="0" fillId="42" borderId="10" xfId="0" applyFill="1" applyBorder="1" applyAlignment="1">
      <alignment horizontal="center" vertical="center" wrapText="1"/>
    </xf>
    <xf numFmtId="0" fontId="35"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3" fillId="37"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Alignment="1">
      <alignment horizontal="right" wrapText="1"/>
    </xf>
    <xf numFmtId="0" fontId="28"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10" fillId="37" borderId="10" xfId="0" applyFont="1" applyFill="1" applyBorder="1" applyAlignment="1">
      <alignment horizontal="center" vertical="center" wrapText="1"/>
    </xf>
    <xf numFmtId="0" fontId="9" fillId="36" borderId="10" xfId="0" applyFont="1" applyFill="1" applyBorder="1" applyAlignment="1">
      <alignment horizontal="left" vertical="top" wrapText="1"/>
    </xf>
    <xf numFmtId="0" fontId="6" fillId="37" borderId="0" xfId="0" applyFont="1" applyFill="1" applyAlignment="1">
      <alignment horizontal="center" vertical="center" wrapText="1"/>
    </xf>
    <xf numFmtId="0" fontId="4" fillId="36" borderId="10" xfId="0" applyFont="1" applyFill="1" applyBorder="1" applyAlignment="1">
      <alignment horizontal="left" vertical="center" wrapText="1"/>
    </xf>
    <xf numFmtId="0" fontId="5" fillId="0" borderId="0" xfId="0" applyFont="1" applyFill="1" applyAlignment="1">
      <alignment horizontal="right"/>
    </xf>
    <xf numFmtId="0" fontId="2"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4" fillId="37" borderId="0" xfId="0" applyFont="1" applyFill="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190" fontId="3" fillId="0" borderId="17"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3">
      <selection activeCell="C19" sqref="C19"/>
    </sheetView>
  </sheetViews>
  <sheetFormatPr defaultColWidth="9.00390625" defaultRowHeight="12.75"/>
  <cols>
    <col min="1" max="1" width="24.625" style="0" customWidth="1"/>
    <col min="2" max="2" width="43.75390625" style="0" customWidth="1"/>
    <col min="3" max="3" width="19.25390625" style="0" customWidth="1"/>
    <col min="4" max="4" width="11.75390625" style="0" bestFit="1" customWidth="1"/>
  </cols>
  <sheetData>
    <row r="1" spans="1:3" ht="15.75">
      <c r="A1" s="6"/>
      <c r="B1" s="9"/>
      <c r="C1" s="5" t="s">
        <v>177</v>
      </c>
    </row>
    <row r="2" spans="1:3" ht="16.5" customHeight="1">
      <c r="A2" s="6"/>
      <c r="B2" s="9"/>
      <c r="C2" s="5" t="s">
        <v>405</v>
      </c>
    </row>
    <row r="3" spans="1:3" ht="16.5" customHeight="1">
      <c r="A3" s="6"/>
      <c r="B3" s="615" t="s">
        <v>406</v>
      </c>
      <c r="C3" s="615"/>
    </row>
    <row r="4" spans="1:3" s="56" customFormat="1" ht="16.5" customHeight="1">
      <c r="A4" s="6"/>
      <c r="B4" s="616" t="s">
        <v>940</v>
      </c>
      <c r="C4" s="616"/>
    </row>
    <row r="5" spans="1:3" ht="16.5" customHeight="1">
      <c r="A5" s="6"/>
      <c r="B5" s="5"/>
      <c r="C5" s="5"/>
    </row>
    <row r="6" spans="1:3" ht="38.25" customHeight="1">
      <c r="A6" s="617" t="s">
        <v>848</v>
      </c>
      <c r="B6" s="617"/>
      <c r="C6" s="617"/>
    </row>
    <row r="7" spans="1:3" ht="15.75" customHeight="1">
      <c r="A7" s="92"/>
      <c r="B7" s="92"/>
      <c r="C7" s="127" t="s">
        <v>344</v>
      </c>
    </row>
    <row r="8" spans="1:3" ht="3.75" customHeight="1" hidden="1">
      <c r="A8" s="93" t="s">
        <v>316</v>
      </c>
      <c r="B8" s="94"/>
      <c r="C8" s="94"/>
    </row>
    <row r="9" spans="1:3" ht="16.5" customHeight="1">
      <c r="A9" s="618" t="s">
        <v>137</v>
      </c>
      <c r="B9" s="618" t="s">
        <v>304</v>
      </c>
      <c r="C9" s="619" t="s">
        <v>849</v>
      </c>
    </row>
    <row r="10" spans="1:3" ht="16.5" customHeight="1">
      <c r="A10" s="618"/>
      <c r="B10" s="618"/>
      <c r="C10" s="619"/>
    </row>
    <row r="11" spans="1:3" ht="22.5" customHeight="1">
      <c r="A11" s="618"/>
      <c r="B11" s="618"/>
      <c r="C11" s="619"/>
    </row>
    <row r="12" spans="1:3" ht="34.5" customHeight="1">
      <c r="A12" s="78" t="s">
        <v>305</v>
      </c>
      <c r="B12" s="95" t="s">
        <v>306</v>
      </c>
      <c r="C12" s="219">
        <f>C13+C14</f>
        <v>5838.579200000001</v>
      </c>
    </row>
    <row r="13" spans="1:3" ht="52.5" customHeight="1">
      <c r="A13" s="79" t="s">
        <v>307</v>
      </c>
      <c r="B13" s="96" t="s">
        <v>308</v>
      </c>
      <c r="C13" s="149">
        <f>(4737.01064+2500-439.05279)</f>
        <v>6797.957850000001</v>
      </c>
    </row>
    <row r="14" spans="1:4" ht="50.25" customHeight="1">
      <c r="A14" s="97" t="s">
        <v>309</v>
      </c>
      <c r="B14" s="98" t="s">
        <v>310</v>
      </c>
      <c r="C14" s="149">
        <v>-959.37865</v>
      </c>
      <c r="D14" s="581"/>
    </row>
    <row r="15" spans="1:3" ht="51" customHeight="1">
      <c r="A15" s="78" t="s">
        <v>311</v>
      </c>
      <c r="B15" s="95" t="s">
        <v>312</v>
      </c>
      <c r="C15" s="294">
        <f>C16+C17</f>
        <v>-3338.5791999999997</v>
      </c>
    </row>
    <row r="16" spans="1:3" ht="63" customHeight="1">
      <c r="A16" s="97" t="s">
        <v>246</v>
      </c>
      <c r="B16" s="99" t="s">
        <v>317</v>
      </c>
      <c r="C16" s="336">
        <v>0</v>
      </c>
    </row>
    <row r="17" spans="1:3" ht="67.5" customHeight="1">
      <c r="A17" s="100" t="s">
        <v>247</v>
      </c>
      <c r="B17" s="101" t="s">
        <v>318</v>
      </c>
      <c r="C17" s="149">
        <f>-(1680+2097.63199-439.05279)</f>
        <v>-3338.5791999999997</v>
      </c>
    </row>
    <row r="18" spans="1:3" ht="36" customHeight="1">
      <c r="A18" s="78" t="s">
        <v>359</v>
      </c>
      <c r="B18" s="95" t="s">
        <v>360</v>
      </c>
      <c r="C18" s="294">
        <f>C19+C20</f>
        <v>29019.05613000004</v>
      </c>
    </row>
    <row r="19" spans="1:3" ht="36" customHeight="1">
      <c r="A19" s="79" t="s">
        <v>0</v>
      </c>
      <c r="B19" s="96" t="s">
        <v>1</v>
      </c>
      <c r="C19" s="665">
        <f>-(530465.55131+7237.01064+413+11036.54-439.05279+16097.19673+18499.52934)</f>
        <v>-583309.77523</v>
      </c>
    </row>
    <row r="20" spans="1:3" ht="39" customHeight="1">
      <c r="A20" s="79" t="s">
        <v>2</v>
      </c>
      <c r="B20" s="96" t="s">
        <v>3</v>
      </c>
      <c r="C20" s="149">
        <f>561984.60744+959.37865+3777.63199+413+11036.54-439.05279+16097.19673+18499.52934</f>
        <v>612328.8313600001</v>
      </c>
    </row>
    <row r="21" spans="1:5" ht="19.5" customHeight="1">
      <c r="A21" s="78"/>
      <c r="B21" s="102" t="s">
        <v>319</v>
      </c>
      <c r="C21" s="598">
        <f>C12+C15+C18</f>
        <v>31519.05613000004</v>
      </c>
      <c r="E21" s="107"/>
    </row>
    <row r="22" spans="1:3" s="1" customFormat="1" ht="21.75" customHeight="1">
      <c r="A22"/>
      <c r="B22"/>
      <c r="C22">
        <v>2500</v>
      </c>
    </row>
    <row r="23" spans="1:3" s="2" customFormat="1" ht="12.75">
      <c r="A23"/>
      <c r="B23"/>
      <c r="C23"/>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07"/>
  <sheetViews>
    <sheetView view="pageBreakPreview" zoomScaleSheetLayoutView="100" zoomScalePageLayoutView="0" workbookViewId="0" topLeftCell="A95">
      <selection activeCell="E107" sqref="E107"/>
    </sheetView>
  </sheetViews>
  <sheetFormatPr defaultColWidth="8.75390625" defaultRowHeight="12.75"/>
  <cols>
    <col min="1" max="1" width="23.25390625" style="530" customWidth="1"/>
    <col min="2" max="2" width="9.25390625" style="343" customWidth="1"/>
    <col min="3" max="3" width="44.75390625" style="343" customWidth="1"/>
    <col min="4" max="4" width="16.00390625" style="324" hidden="1" customWidth="1"/>
    <col min="5" max="5" width="16.00390625" style="324" customWidth="1"/>
    <col min="6" max="6" width="15.375" style="324" hidden="1" customWidth="1"/>
    <col min="7" max="7" width="18.75390625" style="61" customWidth="1"/>
    <col min="8" max="8" width="15.75390625" style="61" bestFit="1" customWidth="1"/>
    <col min="9" max="16384" width="8.75390625" style="61" customWidth="1"/>
  </cols>
  <sheetData>
    <row r="1" spans="1:5" ht="15.75">
      <c r="A1" s="525"/>
      <c r="B1" s="526"/>
      <c r="C1" s="620" t="s">
        <v>460</v>
      </c>
      <c r="D1" s="621"/>
      <c r="E1" s="621"/>
    </row>
    <row r="2" spans="1:9" ht="15.75">
      <c r="A2" s="525"/>
      <c r="B2" s="526"/>
      <c r="C2" s="622" t="s">
        <v>405</v>
      </c>
      <c r="D2" s="622"/>
      <c r="E2" s="622"/>
      <c r="H2" s="8"/>
      <c r="I2" s="323"/>
    </row>
    <row r="3" spans="1:9" ht="15.75">
      <c r="A3" s="525"/>
      <c r="B3" s="526"/>
      <c r="C3" s="622" t="s">
        <v>406</v>
      </c>
      <c r="D3" s="622"/>
      <c r="E3" s="622"/>
      <c r="H3" s="622"/>
      <c r="I3" s="622"/>
    </row>
    <row r="4" spans="1:9" ht="13.5" customHeight="1">
      <c r="A4" s="525"/>
      <c r="B4" s="526"/>
      <c r="C4" s="622" t="s">
        <v>941</v>
      </c>
      <c r="D4" s="621"/>
      <c r="E4" s="621"/>
      <c r="H4" s="8"/>
      <c r="I4" s="323"/>
    </row>
    <row r="5" spans="1:9" ht="15.75">
      <c r="A5" s="525"/>
      <c r="B5" s="526"/>
      <c r="C5" s="526"/>
      <c r="H5" s="622"/>
      <c r="I5" s="622"/>
    </row>
    <row r="6" spans="1:5" ht="20.25" customHeight="1">
      <c r="A6" s="623" t="s">
        <v>794</v>
      </c>
      <c r="B6" s="623"/>
      <c r="C6" s="623"/>
      <c r="D6" s="623"/>
      <c r="E6" s="624"/>
    </row>
    <row r="7" spans="1:6" ht="15" customHeight="1">
      <c r="A7" s="527"/>
      <c r="B7" s="625"/>
      <c r="C7" s="625"/>
      <c r="D7" s="330"/>
      <c r="E7" s="330" t="s">
        <v>135</v>
      </c>
      <c r="F7" s="322"/>
    </row>
    <row r="8" spans="1:6" ht="15" customHeight="1">
      <c r="A8" s="626" t="s">
        <v>137</v>
      </c>
      <c r="B8" s="626" t="s">
        <v>347</v>
      </c>
      <c r="C8" s="626"/>
      <c r="D8" s="627" t="s">
        <v>855</v>
      </c>
      <c r="E8" s="627" t="s">
        <v>877</v>
      </c>
      <c r="F8" s="628" t="s">
        <v>661</v>
      </c>
    </row>
    <row r="9" spans="1:6" ht="67.5" customHeight="1">
      <c r="A9" s="626"/>
      <c r="B9" s="626"/>
      <c r="C9" s="626"/>
      <c r="D9" s="627"/>
      <c r="E9" s="627"/>
      <c r="F9" s="628"/>
    </row>
    <row r="10" spans="1:8" ht="18.75" customHeight="1">
      <c r="A10" s="328" t="s">
        <v>251</v>
      </c>
      <c r="B10" s="629" t="s">
        <v>252</v>
      </c>
      <c r="C10" s="629"/>
      <c r="D10" s="221">
        <f>D11+D13+D15+D20+D22+D30+D32+D35+D39+D40</f>
        <v>211636</v>
      </c>
      <c r="E10" s="221">
        <f>E11+E13+E15+E20+E22+E30+E32+E35+E39+E40</f>
        <v>228741.4</v>
      </c>
      <c r="F10" s="221">
        <f>F11+F13+F15+F20+F22+F30+F32+F35+F39+F40</f>
        <v>16756.4</v>
      </c>
      <c r="G10" s="169"/>
      <c r="H10" s="169"/>
    </row>
    <row r="11" spans="1:7" ht="15" customHeight="1">
      <c r="A11" s="328" t="s">
        <v>253</v>
      </c>
      <c r="B11" s="626" t="s">
        <v>263</v>
      </c>
      <c r="C11" s="626"/>
      <c r="D11" s="221">
        <f>SUM(D12)</f>
        <v>173894</v>
      </c>
      <c r="E11" s="221">
        <f>SUM(E12)</f>
        <v>185984</v>
      </c>
      <c r="F11" s="221">
        <f>SUM(F12)</f>
        <v>12090</v>
      </c>
      <c r="G11" s="169"/>
    </row>
    <row r="12" spans="1:7" ht="15" customHeight="1">
      <c r="A12" s="120" t="s">
        <v>403</v>
      </c>
      <c r="B12" s="626" t="s">
        <v>264</v>
      </c>
      <c r="C12" s="626"/>
      <c r="D12" s="325">
        <v>173894</v>
      </c>
      <c r="E12" s="325">
        <v>185984</v>
      </c>
      <c r="F12" s="325">
        <f>E12-D12</f>
        <v>12090</v>
      </c>
      <c r="G12" s="169"/>
    </row>
    <row r="13" spans="1:7" ht="45" customHeight="1">
      <c r="A13" s="328" t="s">
        <v>450</v>
      </c>
      <c r="B13" s="626" t="s">
        <v>451</v>
      </c>
      <c r="C13" s="626"/>
      <c r="D13" s="221">
        <f>SUM(D14)</f>
        <v>14759</v>
      </c>
      <c r="E13" s="221">
        <f>SUM(E14)</f>
        <v>13960</v>
      </c>
      <c r="F13" s="221">
        <f>SUM(F14)</f>
        <v>-799</v>
      </c>
      <c r="G13" s="169"/>
    </row>
    <row r="14" spans="1:6" ht="29.25" customHeight="1">
      <c r="A14" s="120" t="s">
        <v>448</v>
      </c>
      <c r="B14" s="626" t="s">
        <v>449</v>
      </c>
      <c r="C14" s="626"/>
      <c r="D14" s="325">
        <v>14759</v>
      </c>
      <c r="E14" s="325">
        <f>14759-799</f>
        <v>13960</v>
      </c>
      <c r="F14" s="325">
        <f>E14-D14</f>
        <v>-799</v>
      </c>
    </row>
    <row r="15" spans="1:6" ht="15" customHeight="1">
      <c r="A15" s="328" t="s">
        <v>265</v>
      </c>
      <c r="B15" s="626" t="s">
        <v>267</v>
      </c>
      <c r="C15" s="626"/>
      <c r="D15" s="221">
        <f>SUM(D16:D19)</f>
        <v>3640</v>
      </c>
      <c r="E15" s="221">
        <f>SUM(E16:E19)</f>
        <v>6742</v>
      </c>
      <c r="F15" s="221">
        <f>SUM(F16:F19)</f>
        <v>2753</v>
      </c>
    </row>
    <row r="16" spans="1:6" ht="30" customHeight="1">
      <c r="A16" s="120" t="s">
        <v>795</v>
      </c>
      <c r="B16" s="626" t="s">
        <v>653</v>
      </c>
      <c r="C16" s="626"/>
      <c r="D16" s="325">
        <v>249</v>
      </c>
      <c r="E16" s="325">
        <v>249</v>
      </c>
      <c r="F16" s="325">
        <f>E16-D16</f>
        <v>0</v>
      </c>
    </row>
    <row r="17" spans="1:6" ht="30" customHeight="1">
      <c r="A17" s="120" t="s">
        <v>420</v>
      </c>
      <c r="B17" s="626" t="s">
        <v>268</v>
      </c>
      <c r="C17" s="626"/>
      <c r="D17" s="325">
        <v>2163</v>
      </c>
      <c r="E17" s="325">
        <f>2163+200+149</f>
        <v>2512</v>
      </c>
      <c r="F17" s="325"/>
    </row>
    <row r="18" spans="1:6" ht="22.5" customHeight="1">
      <c r="A18" s="120" t="s">
        <v>421</v>
      </c>
      <c r="B18" s="626" t="s">
        <v>269</v>
      </c>
      <c r="C18" s="626"/>
      <c r="D18" s="325">
        <v>1146</v>
      </c>
      <c r="E18" s="325">
        <f>1146+213+8-8</f>
        <v>1359</v>
      </c>
      <c r="F18" s="325">
        <f>E18-D18</f>
        <v>213</v>
      </c>
    </row>
    <row r="19" spans="1:6" ht="45" customHeight="1">
      <c r="A19" s="120" t="s">
        <v>452</v>
      </c>
      <c r="B19" s="626" t="s">
        <v>453</v>
      </c>
      <c r="C19" s="626"/>
      <c r="D19" s="325">
        <v>82</v>
      </c>
      <c r="E19" s="325">
        <f>82+68+800+1465+10+8+158+31</f>
        <v>2622</v>
      </c>
      <c r="F19" s="325">
        <f>E19-D19</f>
        <v>2540</v>
      </c>
    </row>
    <row r="20" spans="1:6" ht="15" customHeight="1">
      <c r="A20" s="328" t="s">
        <v>270</v>
      </c>
      <c r="B20" s="626" t="s">
        <v>271</v>
      </c>
      <c r="C20" s="626"/>
      <c r="D20" s="221">
        <f>SUM(D21:D21)</f>
        <v>2900</v>
      </c>
      <c r="E20" s="221">
        <f>SUM(E21:E21)</f>
        <v>2500</v>
      </c>
      <c r="F20" s="221">
        <f>SUM(F21:F21)</f>
        <v>-400</v>
      </c>
    </row>
    <row r="21" spans="1:6" ht="46.5" customHeight="1">
      <c r="A21" s="15" t="s">
        <v>454</v>
      </c>
      <c r="B21" s="630" t="s">
        <v>7</v>
      </c>
      <c r="C21" s="630"/>
      <c r="D21" s="325">
        <v>2900</v>
      </c>
      <c r="E21" s="325">
        <f>2900-400</f>
        <v>2500</v>
      </c>
      <c r="F21" s="325">
        <f>E21-D21</f>
        <v>-400</v>
      </c>
    </row>
    <row r="22" spans="1:6" ht="52.5" customHeight="1">
      <c r="A22" s="328" t="s">
        <v>272</v>
      </c>
      <c r="B22" s="626" t="s">
        <v>422</v>
      </c>
      <c r="C22" s="626"/>
      <c r="D22" s="221">
        <f>SUM(D23:D29)</f>
        <v>7946</v>
      </c>
      <c r="E22" s="221">
        <f>SUM(E23:E29)</f>
        <v>8771</v>
      </c>
      <c r="F22" s="221">
        <f>SUM(F23:F29)</f>
        <v>825</v>
      </c>
    </row>
    <row r="23" spans="1:6" ht="111.75" customHeight="1">
      <c r="A23" s="120" t="s">
        <v>4</v>
      </c>
      <c r="B23" s="626" t="s">
        <v>496</v>
      </c>
      <c r="C23" s="626"/>
      <c r="D23" s="583">
        <v>515</v>
      </c>
      <c r="E23" s="583">
        <f>515+55+1645</f>
        <v>2215</v>
      </c>
      <c r="F23" s="325">
        <f aca="true" t="shared" si="0" ref="F23:F29">E23-D23</f>
        <v>1700</v>
      </c>
    </row>
    <row r="24" spans="1:6" ht="95.25" customHeight="1" hidden="1">
      <c r="A24" s="120" t="s">
        <v>6</v>
      </c>
      <c r="B24" s="626" t="s">
        <v>641</v>
      </c>
      <c r="C24" s="626"/>
      <c r="D24" s="583"/>
      <c r="E24" s="583"/>
      <c r="F24" s="325">
        <f t="shared" si="0"/>
        <v>0</v>
      </c>
    </row>
    <row r="25" spans="1:6" ht="84.75" customHeight="1">
      <c r="A25" s="120" t="s">
        <v>230</v>
      </c>
      <c r="B25" s="626" t="s">
        <v>881</v>
      </c>
      <c r="C25" s="626"/>
      <c r="D25" s="583">
        <v>5400</v>
      </c>
      <c r="E25" s="583">
        <f>5400+25-900</f>
        <v>4525</v>
      </c>
      <c r="F25" s="325">
        <f t="shared" si="0"/>
        <v>-875</v>
      </c>
    </row>
    <row r="26" spans="1:6" ht="85.5" customHeight="1">
      <c r="A26" s="120" t="s">
        <v>327</v>
      </c>
      <c r="B26" s="626" t="s">
        <v>242</v>
      </c>
      <c r="C26" s="626"/>
      <c r="D26" s="583">
        <v>103</v>
      </c>
      <c r="E26" s="583">
        <v>103</v>
      </c>
      <c r="F26" s="325">
        <f t="shared" si="0"/>
        <v>0</v>
      </c>
    </row>
    <row r="27" spans="1:6" ht="83.25" customHeight="1">
      <c r="A27" s="120" t="s">
        <v>171</v>
      </c>
      <c r="B27" s="626" t="s">
        <v>425</v>
      </c>
      <c r="C27" s="626"/>
      <c r="D27" s="325">
        <v>1928</v>
      </c>
      <c r="E27" s="325">
        <v>1928</v>
      </c>
      <c r="F27" s="325">
        <f t="shared" si="0"/>
        <v>0</v>
      </c>
    </row>
    <row r="28" spans="1:6" ht="59.25" customHeight="1" hidden="1">
      <c r="A28" s="120" t="s">
        <v>328</v>
      </c>
      <c r="B28" s="626" t="s">
        <v>172</v>
      </c>
      <c r="C28" s="626"/>
      <c r="D28" s="325"/>
      <c r="E28" s="325"/>
      <c r="F28" s="325">
        <f t="shared" si="0"/>
        <v>0</v>
      </c>
    </row>
    <row r="29" spans="1:6" ht="87" customHeight="1" hidden="1">
      <c r="A29" s="120" t="s">
        <v>173</v>
      </c>
      <c r="B29" s="626" t="s">
        <v>428</v>
      </c>
      <c r="C29" s="626"/>
      <c r="D29" s="325"/>
      <c r="E29" s="325"/>
      <c r="F29" s="325">
        <f t="shared" si="0"/>
        <v>0</v>
      </c>
    </row>
    <row r="30" spans="1:6" ht="31.5" customHeight="1">
      <c r="A30" s="328" t="s">
        <v>273</v>
      </c>
      <c r="B30" s="626" t="s">
        <v>274</v>
      </c>
      <c r="C30" s="626"/>
      <c r="D30" s="221">
        <f>SUM(D31)</f>
        <v>538</v>
      </c>
      <c r="E30" s="221">
        <f>SUM(E31)</f>
        <v>1378</v>
      </c>
      <c r="F30" s="221">
        <f>SUM(F31)</f>
        <v>840</v>
      </c>
    </row>
    <row r="31" spans="1:6" ht="24" customHeight="1">
      <c r="A31" s="120" t="s">
        <v>404</v>
      </c>
      <c r="B31" s="626" t="s">
        <v>275</v>
      </c>
      <c r="C31" s="626"/>
      <c r="D31" s="222">
        <v>538</v>
      </c>
      <c r="E31" s="222">
        <f>538+840</f>
        <v>1378</v>
      </c>
      <c r="F31" s="325">
        <f>E31-D31</f>
        <v>840</v>
      </c>
    </row>
    <row r="32" spans="1:6" ht="31.5" customHeight="1">
      <c r="A32" s="328" t="s">
        <v>276</v>
      </c>
      <c r="B32" s="626" t="s">
        <v>277</v>
      </c>
      <c r="C32" s="626"/>
      <c r="D32" s="221">
        <f>SUM(D33:D34)</f>
        <v>1057</v>
      </c>
      <c r="E32" s="221">
        <f>SUM(E33:E34)</f>
        <v>1057</v>
      </c>
      <c r="F32" s="221">
        <f>SUM(F33:F34)</f>
        <v>0</v>
      </c>
    </row>
    <row r="33" spans="1:8" ht="41.25" customHeight="1">
      <c r="A33" s="120" t="s">
        <v>429</v>
      </c>
      <c r="B33" s="626" t="s">
        <v>430</v>
      </c>
      <c r="C33" s="626"/>
      <c r="D33" s="325">
        <f>90+144</f>
        <v>234</v>
      </c>
      <c r="E33" s="325">
        <f>90+144</f>
        <v>234</v>
      </c>
      <c r="F33" s="325">
        <f>E33-D33</f>
        <v>0</v>
      </c>
      <c r="G33" s="169"/>
      <c r="H33" s="169"/>
    </row>
    <row r="34" spans="1:6" ht="51.75" customHeight="1">
      <c r="A34" s="120" t="s">
        <v>642</v>
      </c>
      <c r="B34" s="626" t="s">
        <v>643</v>
      </c>
      <c r="C34" s="626"/>
      <c r="D34" s="325">
        <v>823</v>
      </c>
      <c r="E34" s="325">
        <v>823</v>
      </c>
      <c r="F34" s="325">
        <f>E34-D34</f>
        <v>0</v>
      </c>
    </row>
    <row r="35" spans="1:6" ht="36" customHeight="1">
      <c r="A35" s="328" t="s">
        <v>278</v>
      </c>
      <c r="B35" s="626" t="s">
        <v>279</v>
      </c>
      <c r="C35" s="626"/>
      <c r="D35" s="221">
        <f>SUM(D36:D38)</f>
        <v>3887</v>
      </c>
      <c r="E35" s="221">
        <f>SUM(E36:E38)</f>
        <v>5334.4</v>
      </c>
      <c r="F35" s="221">
        <f>SUM(F36:F38)</f>
        <v>1447.3999999999996</v>
      </c>
    </row>
    <row r="36" spans="1:8" ht="87" customHeight="1">
      <c r="A36" s="120" t="s">
        <v>431</v>
      </c>
      <c r="B36" s="626" t="s">
        <v>444</v>
      </c>
      <c r="C36" s="626"/>
      <c r="D36" s="325">
        <f>1041+425+2081</f>
        <v>3547</v>
      </c>
      <c r="E36" s="325">
        <f>1041+425+2081+62.4+759</f>
        <v>4368.4</v>
      </c>
      <c r="F36" s="325">
        <f>E36-D36</f>
        <v>821.3999999999996</v>
      </c>
      <c r="G36" s="579"/>
      <c r="H36" s="169"/>
    </row>
    <row r="37" spans="1:6" ht="55.5" customHeight="1">
      <c r="A37" s="15" t="s">
        <v>510</v>
      </c>
      <c r="B37" s="626" t="s">
        <v>786</v>
      </c>
      <c r="C37" s="626"/>
      <c r="D37" s="325">
        <v>340</v>
      </c>
      <c r="E37" s="325">
        <f>340+250</f>
        <v>590</v>
      </c>
      <c r="F37" s="325">
        <f>E37-D37</f>
        <v>250</v>
      </c>
    </row>
    <row r="38" spans="1:6" ht="57" customHeight="1">
      <c r="A38" s="15" t="s">
        <v>549</v>
      </c>
      <c r="B38" s="626" t="s">
        <v>243</v>
      </c>
      <c r="C38" s="626"/>
      <c r="D38" s="325"/>
      <c r="E38" s="325">
        <v>376</v>
      </c>
      <c r="F38" s="325">
        <f>E38-D38</f>
        <v>376</v>
      </c>
    </row>
    <row r="39" spans="1:6" ht="19.5" customHeight="1">
      <c r="A39" s="328" t="s">
        <v>280</v>
      </c>
      <c r="B39" s="626" t="s">
        <v>281</v>
      </c>
      <c r="C39" s="626"/>
      <c r="D39" s="326">
        <f>1500+15+1200</f>
        <v>2715</v>
      </c>
      <c r="E39" s="326">
        <f>1500+15+1200</f>
        <v>2715</v>
      </c>
      <c r="F39" s="326">
        <f>E39-D39</f>
        <v>0</v>
      </c>
    </row>
    <row r="40" spans="1:6" ht="31.5" customHeight="1">
      <c r="A40" s="328" t="s">
        <v>329</v>
      </c>
      <c r="B40" s="626" t="s">
        <v>330</v>
      </c>
      <c r="C40" s="626"/>
      <c r="D40" s="221">
        <f>SUM(D41)</f>
        <v>300</v>
      </c>
      <c r="E40" s="221">
        <f>SUM(E41)</f>
        <v>300</v>
      </c>
      <c r="F40" s="221">
        <f>SUM(F41)</f>
        <v>0</v>
      </c>
    </row>
    <row r="41" spans="1:6" ht="27" customHeight="1">
      <c r="A41" s="15" t="s">
        <v>332</v>
      </c>
      <c r="B41" s="626" t="s">
        <v>334</v>
      </c>
      <c r="C41" s="626"/>
      <c r="D41" s="325">
        <v>300</v>
      </c>
      <c r="E41" s="325">
        <v>300</v>
      </c>
      <c r="F41" s="325">
        <f>E41-D41</f>
        <v>0</v>
      </c>
    </row>
    <row r="42" spans="1:8" ht="32.25" customHeight="1">
      <c r="A42" s="328" t="s">
        <v>282</v>
      </c>
      <c r="B42" s="629" t="s">
        <v>664</v>
      </c>
      <c r="C42" s="629"/>
      <c r="D42" s="221">
        <f>D43</f>
        <v>291580.88323999994</v>
      </c>
      <c r="E42" s="221">
        <f>E43</f>
        <v>347770.41738</v>
      </c>
      <c r="F42" s="221">
        <f>F43</f>
        <v>36841.22713999999</v>
      </c>
      <c r="G42" s="169"/>
      <c r="H42" s="169"/>
    </row>
    <row r="43" spans="1:8" ht="33" customHeight="1">
      <c r="A43" s="120" t="s">
        <v>283</v>
      </c>
      <c r="B43" s="626" t="s">
        <v>665</v>
      </c>
      <c r="C43" s="626"/>
      <c r="D43" s="221">
        <f>D44+D48+D62+D96</f>
        <v>291580.88323999994</v>
      </c>
      <c r="E43" s="221">
        <f>E44+E48+E62+E96</f>
        <v>347770.41738</v>
      </c>
      <c r="F43" s="221">
        <f>F44+F48+F62+F96</f>
        <v>36841.22713999999</v>
      </c>
      <c r="G43" s="169"/>
      <c r="H43" s="169"/>
    </row>
    <row r="44" spans="1:7" ht="31.5" customHeight="1">
      <c r="A44" s="328" t="s">
        <v>644</v>
      </c>
      <c r="B44" s="629" t="s">
        <v>286</v>
      </c>
      <c r="C44" s="629"/>
      <c r="D44" s="221">
        <f>D46+D47</f>
        <v>0</v>
      </c>
      <c r="E44" s="221">
        <f>E46+E47</f>
        <v>45479.06</v>
      </c>
      <c r="F44" s="221">
        <f>E44-D44</f>
        <v>45479.06</v>
      </c>
      <c r="G44" s="169"/>
    </row>
    <row r="45" spans="1:6" ht="43.5" customHeight="1" hidden="1">
      <c r="A45" s="120" t="s">
        <v>457</v>
      </c>
      <c r="B45" s="626" t="s">
        <v>174</v>
      </c>
      <c r="C45" s="626"/>
      <c r="D45" s="325"/>
      <c r="E45" s="325"/>
      <c r="F45" s="325">
        <f>E45-D45</f>
        <v>0</v>
      </c>
    </row>
    <row r="46" spans="1:6" ht="108" customHeight="1" hidden="1">
      <c r="A46" s="120" t="s">
        <v>779</v>
      </c>
      <c r="B46" s="626" t="s">
        <v>780</v>
      </c>
      <c r="C46" s="631"/>
      <c r="D46" s="325">
        <v>0</v>
      </c>
      <c r="E46" s="325">
        <v>0</v>
      </c>
      <c r="F46" s="325">
        <f>E46-D46</f>
        <v>0</v>
      </c>
    </row>
    <row r="47" spans="1:6" ht="30" customHeight="1">
      <c r="A47" s="120" t="s">
        <v>552</v>
      </c>
      <c r="B47" s="626" t="s">
        <v>343</v>
      </c>
      <c r="C47" s="626"/>
      <c r="D47" s="325">
        <v>0</v>
      </c>
      <c r="E47" s="325">
        <f>8050.54+14233.52+23195</f>
        <v>45479.06</v>
      </c>
      <c r="F47" s="325">
        <f>E47-D47</f>
        <v>45479.06</v>
      </c>
    </row>
    <row r="48" spans="1:7" ht="33" customHeight="1">
      <c r="A48" s="105" t="s">
        <v>459</v>
      </c>
      <c r="B48" s="627" t="s">
        <v>266</v>
      </c>
      <c r="C48" s="627"/>
      <c r="D48" s="221">
        <f>D49+D61</f>
        <v>0</v>
      </c>
      <c r="E48" s="221">
        <f>E49+E61</f>
        <v>8004.10391</v>
      </c>
      <c r="F48" s="221">
        <f>F49+F61</f>
        <v>7804.10391</v>
      </c>
      <c r="G48" s="169"/>
    </row>
    <row r="49" spans="1:7" ht="33" customHeight="1">
      <c r="A49" s="220" t="s">
        <v>645</v>
      </c>
      <c r="B49" s="632" t="s">
        <v>774</v>
      </c>
      <c r="C49" s="632"/>
      <c r="D49" s="276">
        <f>SUM(D50:D57)</f>
        <v>0</v>
      </c>
      <c r="E49" s="276">
        <f>SUM(E55:E60)</f>
        <v>6200.37391</v>
      </c>
      <c r="F49" s="276">
        <f>SUM(F50:F57)</f>
        <v>6000.37391</v>
      </c>
      <c r="G49" s="169"/>
    </row>
    <row r="50" spans="1:8" ht="74.25" customHeight="1" hidden="1">
      <c r="A50" s="15" t="s">
        <v>645</v>
      </c>
      <c r="B50" s="626" t="s">
        <v>646</v>
      </c>
      <c r="C50" s="626"/>
      <c r="D50" s="222">
        <v>0</v>
      </c>
      <c r="E50" s="222">
        <v>0</v>
      </c>
      <c r="F50" s="325">
        <f aca="true" t="shared" si="1" ref="F50:F61">E50-D50</f>
        <v>0</v>
      </c>
      <c r="G50" s="528"/>
      <c r="H50" s="529"/>
    </row>
    <row r="51" spans="1:8" ht="60" customHeight="1" hidden="1">
      <c r="A51" s="15" t="s">
        <v>645</v>
      </c>
      <c r="B51" s="633" t="s">
        <v>776</v>
      </c>
      <c r="C51" s="634"/>
      <c r="D51" s="222">
        <v>0</v>
      </c>
      <c r="E51" s="222">
        <v>0</v>
      </c>
      <c r="F51" s="325">
        <f t="shared" si="1"/>
        <v>0</v>
      </c>
      <c r="G51" s="528"/>
      <c r="H51" s="529"/>
    </row>
    <row r="52" spans="1:6" ht="72" customHeight="1" hidden="1">
      <c r="A52" s="15" t="s">
        <v>645</v>
      </c>
      <c r="B52" s="626" t="s">
        <v>775</v>
      </c>
      <c r="C52" s="626"/>
      <c r="D52" s="222">
        <v>0</v>
      </c>
      <c r="E52" s="222">
        <v>0</v>
      </c>
      <c r="F52" s="325">
        <f t="shared" si="1"/>
        <v>0</v>
      </c>
    </row>
    <row r="53" spans="1:6" ht="57" customHeight="1" hidden="1">
      <c r="A53" s="15" t="s">
        <v>645</v>
      </c>
      <c r="B53" s="626" t="s">
        <v>662</v>
      </c>
      <c r="C53" s="631"/>
      <c r="D53" s="222">
        <v>0</v>
      </c>
      <c r="E53" s="222">
        <v>0</v>
      </c>
      <c r="F53" s="325">
        <f t="shared" si="1"/>
        <v>0</v>
      </c>
    </row>
    <row r="54" spans="1:6" ht="57.75" customHeight="1" hidden="1">
      <c r="A54" s="15" t="s">
        <v>645</v>
      </c>
      <c r="B54" s="626" t="s">
        <v>680</v>
      </c>
      <c r="C54" s="631"/>
      <c r="D54" s="222">
        <v>0</v>
      </c>
      <c r="E54" s="222">
        <v>0</v>
      </c>
      <c r="F54" s="325">
        <f t="shared" si="1"/>
        <v>0</v>
      </c>
    </row>
    <row r="55" spans="1:7" ht="58.5" customHeight="1">
      <c r="A55" s="15" t="s">
        <v>645</v>
      </c>
      <c r="B55" s="626" t="s">
        <v>663</v>
      </c>
      <c r="C55" s="626"/>
      <c r="D55" s="222">
        <v>0</v>
      </c>
      <c r="E55" s="222">
        <v>226.44289</v>
      </c>
      <c r="F55" s="325">
        <f t="shared" si="1"/>
        <v>226.44289</v>
      </c>
      <c r="G55" s="580"/>
    </row>
    <row r="56" spans="1:7" ht="51" customHeight="1">
      <c r="A56" s="15" t="s">
        <v>645</v>
      </c>
      <c r="B56" s="626" t="s">
        <v>718</v>
      </c>
      <c r="C56" s="626"/>
      <c r="D56" s="222">
        <v>0</v>
      </c>
      <c r="E56" s="222">
        <f>1382.48629+1391.44473</f>
        <v>2773.93102</v>
      </c>
      <c r="F56" s="325">
        <f t="shared" si="1"/>
        <v>2773.93102</v>
      </c>
      <c r="G56" s="580"/>
    </row>
    <row r="57" spans="1:6" ht="66.75" customHeight="1">
      <c r="A57" s="15" t="s">
        <v>645</v>
      </c>
      <c r="B57" s="626" t="s">
        <v>777</v>
      </c>
      <c r="C57" s="626"/>
      <c r="D57" s="222">
        <v>0</v>
      </c>
      <c r="E57" s="222">
        <v>3000</v>
      </c>
      <c r="F57" s="325">
        <f t="shared" si="1"/>
        <v>3000</v>
      </c>
    </row>
    <row r="58" spans="1:6" ht="66.75" customHeight="1" hidden="1">
      <c r="A58" s="15" t="s">
        <v>914</v>
      </c>
      <c r="B58" s="636" t="s">
        <v>878</v>
      </c>
      <c r="C58" s="637"/>
      <c r="D58" s="576"/>
      <c r="E58" s="222">
        <v>0</v>
      </c>
      <c r="F58" s="325"/>
    </row>
    <row r="59" spans="1:6" ht="45.75" customHeight="1" hidden="1">
      <c r="A59" s="15" t="s">
        <v>915</v>
      </c>
      <c r="B59" s="626" t="s">
        <v>778</v>
      </c>
      <c r="C59" s="626"/>
      <c r="D59" s="222">
        <v>0</v>
      </c>
      <c r="E59" s="222">
        <v>0</v>
      </c>
      <c r="F59" s="325">
        <f t="shared" si="1"/>
        <v>0</v>
      </c>
    </row>
    <row r="60" spans="1:6" ht="45.75" customHeight="1">
      <c r="A60" s="15" t="s">
        <v>645</v>
      </c>
      <c r="B60" s="666" t="s">
        <v>916</v>
      </c>
      <c r="C60" s="667"/>
      <c r="D60" s="222"/>
      <c r="E60" s="222">
        <v>200</v>
      </c>
      <c r="F60" s="325"/>
    </row>
    <row r="61" spans="1:6" ht="60" customHeight="1">
      <c r="A61" s="220" t="s">
        <v>657</v>
      </c>
      <c r="B61" s="635" t="s">
        <v>856</v>
      </c>
      <c r="C61" s="635"/>
      <c r="D61" s="276">
        <v>0</v>
      </c>
      <c r="E61" s="276">
        <v>1803.73</v>
      </c>
      <c r="F61" s="325">
        <f t="shared" si="1"/>
        <v>1803.73</v>
      </c>
    </row>
    <row r="62" spans="1:8" ht="46.5" customHeight="1">
      <c r="A62" s="328" t="s">
        <v>551</v>
      </c>
      <c r="B62" s="629" t="s">
        <v>399</v>
      </c>
      <c r="C62" s="629"/>
      <c r="D62" s="221">
        <f>D64+D65+D66+D72+D92+D93+D68</f>
        <v>287319.28323999996</v>
      </c>
      <c r="E62" s="221">
        <f>SUM(E63:E69)+E72+E94</f>
        <v>277556.79947</v>
      </c>
      <c r="F62" s="221">
        <f>F64+F65+F66+F72+F92+F93+F68</f>
        <v>-28910.79077000001</v>
      </c>
      <c r="H62" s="169"/>
    </row>
    <row r="63" spans="1:8" ht="68.25" customHeight="1">
      <c r="A63" s="120" t="s">
        <v>650</v>
      </c>
      <c r="B63" s="626" t="s">
        <v>326</v>
      </c>
      <c r="C63" s="626"/>
      <c r="D63" s="222">
        <v>4647.323</v>
      </c>
      <c r="E63" s="222">
        <v>6035.259</v>
      </c>
      <c r="F63" s="221"/>
      <c r="H63" s="169"/>
    </row>
    <row r="64" spans="1:7" ht="59.25" customHeight="1">
      <c r="A64" s="120" t="s">
        <v>550</v>
      </c>
      <c r="B64" s="626" t="s">
        <v>735</v>
      </c>
      <c r="C64" s="626"/>
      <c r="D64" s="325">
        <v>1250</v>
      </c>
      <c r="E64" s="325">
        <f>1361.162+34.03</f>
        <v>1395.192</v>
      </c>
      <c r="F64" s="325">
        <f>E64-D64</f>
        <v>145.192</v>
      </c>
      <c r="G64" s="169"/>
    </row>
    <row r="65" spans="1:6" ht="42" customHeight="1">
      <c r="A65" s="120" t="s">
        <v>704</v>
      </c>
      <c r="B65" s="626" t="s">
        <v>796</v>
      </c>
      <c r="C65" s="631"/>
      <c r="D65" s="325">
        <v>520.869</v>
      </c>
      <c r="E65" s="325">
        <v>530.28251</v>
      </c>
      <c r="F65" s="325">
        <f>E65-D65</f>
        <v>9.413509999999974</v>
      </c>
    </row>
    <row r="66" spans="1:6" ht="93" customHeight="1">
      <c r="A66" s="120" t="s">
        <v>553</v>
      </c>
      <c r="B66" s="626" t="s">
        <v>734</v>
      </c>
      <c r="C66" s="626"/>
      <c r="D66" s="222">
        <v>18.268</v>
      </c>
      <c r="E66" s="222">
        <f>26.012+0.0008</f>
        <v>26.012800000000002</v>
      </c>
      <c r="F66" s="325">
        <f>E66-D66</f>
        <v>7.7448000000000015</v>
      </c>
    </row>
    <row r="67" spans="1:6" ht="71.25" customHeight="1">
      <c r="A67" s="120" t="s">
        <v>783</v>
      </c>
      <c r="B67" s="626" t="s">
        <v>784</v>
      </c>
      <c r="C67" s="631"/>
      <c r="D67" s="222">
        <v>0</v>
      </c>
      <c r="E67" s="222">
        <f>18147.5-7270.9</f>
        <v>10876.6</v>
      </c>
      <c r="F67" s="325"/>
    </row>
    <row r="68" spans="1:6" ht="30.75" customHeight="1">
      <c r="A68" s="120" t="s">
        <v>857</v>
      </c>
      <c r="B68" s="626" t="s">
        <v>858</v>
      </c>
      <c r="C68" s="626"/>
      <c r="D68" s="222">
        <v>0</v>
      </c>
      <c r="E68" s="222">
        <v>307.152</v>
      </c>
      <c r="F68" s="325">
        <f>E68-D68</f>
        <v>307.152</v>
      </c>
    </row>
    <row r="69" spans="1:6" ht="33.75" customHeight="1">
      <c r="A69" s="220" t="s">
        <v>879</v>
      </c>
      <c r="B69" s="635" t="s">
        <v>880</v>
      </c>
      <c r="C69" s="635"/>
      <c r="D69" s="276">
        <f>D70+D71</f>
        <v>1897.594</v>
      </c>
      <c r="E69" s="276">
        <f>E70+E71</f>
        <v>1964.216</v>
      </c>
      <c r="F69" s="325"/>
    </row>
    <row r="70" spans="1:6" ht="53.25" customHeight="1">
      <c r="A70" s="120"/>
      <c r="B70" s="626" t="s">
        <v>443</v>
      </c>
      <c r="C70" s="626"/>
      <c r="D70" s="583">
        <v>740.504</v>
      </c>
      <c r="E70" s="583">
        <v>766.425</v>
      </c>
      <c r="F70" s="325"/>
    </row>
    <row r="71" spans="1:6" ht="68.25" customHeight="1">
      <c r="A71" s="120"/>
      <c r="B71" s="626" t="s">
        <v>314</v>
      </c>
      <c r="C71" s="626"/>
      <c r="D71" s="583">
        <v>1157.09</v>
      </c>
      <c r="E71" s="583">
        <v>1197.791</v>
      </c>
      <c r="F71" s="325"/>
    </row>
    <row r="72" spans="1:8" ht="48.75" customHeight="1">
      <c r="A72" s="503" t="s">
        <v>554</v>
      </c>
      <c r="B72" s="638" t="s">
        <v>250</v>
      </c>
      <c r="C72" s="638"/>
      <c r="D72" s="504">
        <f>D73+D74+D75+D78+D79+D80+D82+D84+D85+D86+D87+D89+D90+D91</f>
        <v>280882.82324</v>
      </c>
      <c r="E72" s="504">
        <f>SUM(E73:E93)</f>
        <v>256149.85316</v>
      </c>
      <c r="F72" s="504">
        <f>F73+F74+F75+F78+F79+F80+F82+F84+F85+F86+F87+F89+F90+F91</f>
        <v>-24822.31208000001</v>
      </c>
      <c r="G72" s="169"/>
      <c r="H72" s="169"/>
    </row>
    <row r="73" spans="1:6" ht="76.5" customHeight="1">
      <c r="A73" s="120" t="s">
        <v>554</v>
      </c>
      <c r="B73" s="626" t="s">
        <v>438</v>
      </c>
      <c r="C73" s="626"/>
      <c r="D73" s="222">
        <f>156357.937</f>
        <v>156357.937</v>
      </c>
      <c r="E73" s="222">
        <f>161257.823-3185.1</f>
        <v>158072.723</v>
      </c>
      <c r="F73" s="325">
        <f aca="true" t="shared" si="2" ref="F73:F91">E73-D73</f>
        <v>1714.7859999999928</v>
      </c>
    </row>
    <row r="74" spans="1:6" ht="82.5" customHeight="1">
      <c r="A74" s="120" t="s">
        <v>554</v>
      </c>
      <c r="B74" s="626" t="s">
        <v>647</v>
      </c>
      <c r="C74" s="626"/>
      <c r="D74" s="222">
        <f>13848.602</f>
        <v>13848.602</v>
      </c>
      <c r="E74" s="222">
        <v>7270.9</v>
      </c>
      <c r="F74" s="325">
        <f t="shared" si="2"/>
        <v>-6577.702000000001</v>
      </c>
    </row>
    <row r="75" spans="1:6" ht="40.5" customHeight="1" hidden="1">
      <c r="A75" s="595" t="s">
        <v>879</v>
      </c>
      <c r="B75" s="639" t="s">
        <v>880</v>
      </c>
      <c r="C75" s="639"/>
      <c r="D75" s="584">
        <f>D76+D77</f>
        <v>1897.594</v>
      </c>
      <c r="E75" s="584">
        <f>E76+E77</f>
        <v>0</v>
      </c>
      <c r="F75" s="222">
        <f>F76+F77</f>
        <v>-1897.594</v>
      </c>
    </row>
    <row r="76" spans="1:6" ht="57" customHeight="1" hidden="1">
      <c r="A76" s="595" t="s">
        <v>554</v>
      </c>
      <c r="B76" s="639" t="s">
        <v>443</v>
      </c>
      <c r="C76" s="639"/>
      <c r="D76" s="582">
        <v>740.504</v>
      </c>
      <c r="E76" s="582">
        <v>0</v>
      </c>
      <c r="F76" s="325">
        <f>E76-D76</f>
        <v>-740.504</v>
      </c>
    </row>
    <row r="77" spans="1:6" ht="67.5" customHeight="1" hidden="1">
      <c r="A77" s="595" t="s">
        <v>554</v>
      </c>
      <c r="B77" s="639" t="s">
        <v>314</v>
      </c>
      <c r="C77" s="639"/>
      <c r="D77" s="582">
        <v>1157.09</v>
      </c>
      <c r="E77" s="582">
        <v>0</v>
      </c>
      <c r="F77" s="325">
        <f t="shared" si="2"/>
        <v>-1157.09</v>
      </c>
    </row>
    <row r="78" spans="1:6" ht="75.75" customHeight="1">
      <c r="A78" s="120" t="s">
        <v>554</v>
      </c>
      <c r="B78" s="626" t="s">
        <v>439</v>
      </c>
      <c r="C78" s="626"/>
      <c r="D78" s="222">
        <v>48045.528</v>
      </c>
      <c r="E78" s="222">
        <v>38428.372</v>
      </c>
      <c r="F78" s="325">
        <f t="shared" si="2"/>
        <v>-9617.155999999995</v>
      </c>
    </row>
    <row r="79" spans="1:8" ht="66" customHeight="1">
      <c r="A79" s="120" t="s">
        <v>554</v>
      </c>
      <c r="B79" s="626" t="s">
        <v>737</v>
      </c>
      <c r="C79" s="626"/>
      <c r="D79" s="222">
        <f>3064.058</f>
        <v>3064.058</v>
      </c>
      <c r="E79" s="222">
        <v>896.82255</v>
      </c>
      <c r="F79" s="325">
        <f t="shared" si="2"/>
        <v>-2167.23545</v>
      </c>
      <c r="H79" s="169"/>
    </row>
    <row r="80" spans="1:6" ht="57" customHeight="1">
      <c r="A80" s="120" t="s">
        <v>554</v>
      </c>
      <c r="B80" s="626" t="s">
        <v>442</v>
      </c>
      <c r="C80" s="626"/>
      <c r="D80" s="325">
        <v>768.474</v>
      </c>
      <c r="E80" s="325">
        <v>794.861</v>
      </c>
      <c r="F80" s="325">
        <f t="shared" si="2"/>
        <v>26.386999999999944</v>
      </c>
    </row>
    <row r="81" spans="1:6" ht="66" customHeight="1" hidden="1">
      <c r="A81" s="120"/>
      <c r="B81" s="626"/>
      <c r="C81" s="626"/>
      <c r="D81" s="325"/>
      <c r="E81" s="325"/>
      <c r="F81" s="325"/>
    </row>
    <row r="82" spans="1:6" ht="60" customHeight="1">
      <c r="A82" s="120" t="s">
        <v>554</v>
      </c>
      <c r="B82" s="626" t="s">
        <v>315</v>
      </c>
      <c r="C82" s="626"/>
      <c r="D82" s="222">
        <v>11501.934</v>
      </c>
      <c r="E82" s="222">
        <v>11291.076</v>
      </c>
      <c r="F82" s="325">
        <f t="shared" si="2"/>
        <v>-210.85800000000017</v>
      </c>
    </row>
    <row r="83" spans="1:6" ht="64.5" customHeight="1" hidden="1">
      <c r="A83" s="120"/>
      <c r="B83" s="626"/>
      <c r="C83" s="626"/>
      <c r="D83" s="325"/>
      <c r="E83" s="325"/>
      <c r="F83" s="325">
        <f t="shared" si="2"/>
        <v>0</v>
      </c>
    </row>
    <row r="84" spans="1:6" ht="89.25" customHeight="1">
      <c r="A84" s="120" t="s">
        <v>554</v>
      </c>
      <c r="B84" s="626" t="s">
        <v>736</v>
      </c>
      <c r="C84" s="626"/>
      <c r="D84" s="222">
        <v>1.69524</v>
      </c>
      <c r="E84" s="222">
        <v>1.69524</v>
      </c>
      <c r="F84" s="325">
        <f t="shared" si="2"/>
        <v>0</v>
      </c>
    </row>
    <row r="85" spans="1:6" ht="75.75" customHeight="1">
      <c r="A85" s="120" t="s">
        <v>554</v>
      </c>
      <c r="B85" s="626" t="s">
        <v>717</v>
      </c>
      <c r="C85" s="626"/>
      <c r="D85" s="325">
        <v>316.235</v>
      </c>
      <c r="E85" s="325">
        <v>265.91093</v>
      </c>
      <c r="F85" s="325">
        <f t="shared" si="2"/>
        <v>-50.324070000000006</v>
      </c>
    </row>
    <row r="86" spans="1:6" ht="51.75" customHeight="1">
      <c r="A86" s="120" t="s">
        <v>648</v>
      </c>
      <c r="B86" s="626" t="s">
        <v>686</v>
      </c>
      <c r="C86" s="626"/>
      <c r="D86" s="325">
        <v>1804.088</v>
      </c>
      <c r="E86" s="325">
        <v>1865.848</v>
      </c>
      <c r="F86" s="325">
        <f t="shared" si="2"/>
        <v>61.75999999999999</v>
      </c>
    </row>
    <row r="87" spans="1:6" ht="84.75" customHeight="1">
      <c r="A87" s="120" t="s">
        <v>648</v>
      </c>
      <c r="B87" s="626" t="s">
        <v>677</v>
      </c>
      <c r="C87" s="631"/>
      <c r="D87" s="325">
        <v>18654.753</v>
      </c>
      <c r="E87" s="325">
        <f>14799.63122-1788.71266</f>
        <v>13010.91856</v>
      </c>
      <c r="F87" s="325">
        <f t="shared" si="2"/>
        <v>-5643.8344400000005</v>
      </c>
    </row>
    <row r="88" spans="1:6" ht="71.25" customHeight="1" hidden="1">
      <c r="A88" s="120" t="s">
        <v>706</v>
      </c>
      <c r="B88" s="626" t="s">
        <v>705</v>
      </c>
      <c r="C88" s="631"/>
      <c r="D88" s="222">
        <v>0</v>
      </c>
      <c r="E88" s="222">
        <v>0</v>
      </c>
      <c r="F88" s="325">
        <f t="shared" si="2"/>
        <v>0</v>
      </c>
    </row>
    <row r="89" spans="1:6" ht="72.75" customHeight="1">
      <c r="A89" s="120" t="s">
        <v>648</v>
      </c>
      <c r="B89" s="626" t="s">
        <v>649</v>
      </c>
      <c r="C89" s="626"/>
      <c r="D89" s="222">
        <v>2375</v>
      </c>
      <c r="E89" s="222">
        <v>2160</v>
      </c>
      <c r="F89" s="325">
        <f t="shared" si="2"/>
        <v>-215</v>
      </c>
    </row>
    <row r="90" spans="1:8" ht="45.75" customHeight="1">
      <c r="A90" s="120" t="s">
        <v>554</v>
      </c>
      <c r="B90" s="626" t="s">
        <v>621</v>
      </c>
      <c r="C90" s="626"/>
      <c r="D90" s="222">
        <f>22243.702</f>
        <v>22243.702</v>
      </c>
      <c r="E90" s="222">
        <v>21997.9968</v>
      </c>
      <c r="F90" s="325">
        <f t="shared" si="2"/>
        <v>-245.70520000000033</v>
      </c>
      <c r="H90" s="169"/>
    </row>
    <row r="91" spans="1:6" ht="108" customHeight="1">
      <c r="A91" s="120" t="s">
        <v>554</v>
      </c>
      <c r="B91" s="626" t="s">
        <v>567</v>
      </c>
      <c r="C91" s="626"/>
      <c r="D91" s="222">
        <v>3.223</v>
      </c>
      <c r="E91" s="222">
        <v>3.38708</v>
      </c>
      <c r="F91" s="325">
        <f t="shared" si="2"/>
        <v>0.16408000000000023</v>
      </c>
    </row>
    <row r="92" spans="1:6" ht="103.5" customHeight="1">
      <c r="A92" s="120" t="s">
        <v>554</v>
      </c>
      <c r="B92" s="626" t="s">
        <v>937</v>
      </c>
      <c r="C92" s="626"/>
      <c r="D92" s="222">
        <v>4647.323</v>
      </c>
      <c r="E92" s="222">
        <v>89.342</v>
      </c>
      <c r="F92" s="325">
        <f>E92-D92</f>
        <v>-4557.981000000001</v>
      </c>
    </row>
    <row r="93" spans="1:6" ht="78.75" customHeight="1" hidden="1">
      <c r="A93" s="120" t="s">
        <v>926</v>
      </c>
      <c r="B93" s="626" t="s">
        <v>784</v>
      </c>
      <c r="C93" s="631"/>
      <c r="D93" s="222">
        <v>0</v>
      </c>
      <c r="E93" s="222">
        <v>0</v>
      </c>
      <c r="F93" s="325">
        <f>E93-D93</f>
        <v>0</v>
      </c>
    </row>
    <row r="94" spans="1:6" ht="26.25" customHeight="1">
      <c r="A94" s="220" t="s">
        <v>929</v>
      </c>
      <c r="B94" s="635" t="s">
        <v>930</v>
      </c>
      <c r="C94" s="635"/>
      <c r="D94" s="222"/>
      <c r="E94" s="276">
        <f>E95</f>
        <v>272.232</v>
      </c>
      <c r="F94" s="325"/>
    </row>
    <row r="95" spans="1:6" ht="66.75" customHeight="1">
      <c r="A95" s="120" t="s">
        <v>929</v>
      </c>
      <c r="B95" s="666" t="s">
        <v>927</v>
      </c>
      <c r="C95" s="668"/>
      <c r="D95" s="222"/>
      <c r="E95" s="222">
        <v>272.232</v>
      </c>
      <c r="F95" s="325"/>
    </row>
    <row r="96" spans="1:6" ht="18.75" customHeight="1">
      <c r="A96" s="328" t="s">
        <v>651</v>
      </c>
      <c r="B96" s="629" t="s">
        <v>666</v>
      </c>
      <c r="C96" s="629"/>
      <c r="D96" s="221">
        <f>D97+D98+D99</f>
        <v>4261.6</v>
      </c>
      <c r="E96" s="221">
        <f>E97+E98+E99</f>
        <v>16730.453999999998</v>
      </c>
      <c r="F96" s="221">
        <f>F97+F98+F99</f>
        <v>12468.854</v>
      </c>
    </row>
    <row r="97" spans="1:6" ht="83.25" customHeight="1" hidden="1">
      <c r="A97" s="15" t="s">
        <v>745</v>
      </c>
      <c r="B97" s="626" t="s">
        <v>746</v>
      </c>
      <c r="C97" s="631"/>
      <c r="D97" s="222">
        <v>0</v>
      </c>
      <c r="E97" s="222">
        <v>0</v>
      </c>
      <c r="F97" s="325">
        <f>E97-D97</f>
        <v>0</v>
      </c>
    </row>
    <row r="98" spans="1:6" ht="69" customHeight="1">
      <c r="A98" s="15" t="s">
        <v>782</v>
      </c>
      <c r="B98" s="626" t="s">
        <v>785</v>
      </c>
      <c r="C98" s="631"/>
      <c r="D98" s="222">
        <v>0</v>
      </c>
      <c r="E98" s="222">
        <v>12051</v>
      </c>
      <c r="F98" s="325">
        <f>E98-D98</f>
        <v>12051</v>
      </c>
    </row>
    <row r="99" spans="1:6" ht="73.5" customHeight="1">
      <c r="A99" s="15" t="s">
        <v>652</v>
      </c>
      <c r="B99" s="641" t="s">
        <v>489</v>
      </c>
      <c r="C99" s="641"/>
      <c r="D99" s="222">
        <f>4261.6</f>
        <v>4261.6</v>
      </c>
      <c r="E99" s="222">
        <v>4679.454</v>
      </c>
      <c r="F99" s="325">
        <f>E99-D99</f>
        <v>417.85399999999936</v>
      </c>
    </row>
    <row r="100" spans="1:6" ht="15" customHeight="1" hidden="1">
      <c r="A100" s="15" t="s">
        <v>465</v>
      </c>
      <c r="B100" s="641" t="s">
        <v>341</v>
      </c>
      <c r="C100" s="641"/>
      <c r="D100" s="325"/>
      <c r="E100" s="325"/>
      <c r="F100" s="325"/>
    </row>
    <row r="101" spans="1:6" ht="15" customHeight="1" hidden="1">
      <c r="A101" s="15" t="s">
        <v>466</v>
      </c>
      <c r="B101" s="626" t="s">
        <v>370</v>
      </c>
      <c r="C101" s="626"/>
      <c r="D101" s="325"/>
      <c r="E101" s="325"/>
      <c r="F101" s="325"/>
    </row>
    <row r="102" spans="1:6" ht="15" customHeight="1" hidden="1">
      <c r="A102" s="15" t="s">
        <v>467</v>
      </c>
      <c r="B102" s="626" t="s">
        <v>324</v>
      </c>
      <c r="C102" s="626"/>
      <c r="D102" s="325"/>
      <c r="E102" s="325"/>
      <c r="F102" s="325"/>
    </row>
    <row r="103" spans="1:7" ht="15">
      <c r="A103" s="120"/>
      <c r="B103" s="640" t="s">
        <v>303</v>
      </c>
      <c r="C103" s="640"/>
      <c r="D103" s="221">
        <f>D10+D42</f>
        <v>503216.88323999994</v>
      </c>
      <c r="E103" s="221">
        <f>E10+E42</f>
        <v>576511.81738</v>
      </c>
      <c r="F103" s="221">
        <f>F10+F42</f>
        <v>53597.62713999999</v>
      </c>
      <c r="G103" s="169"/>
    </row>
    <row r="104" spans="3:5" ht="12.75">
      <c r="C104" s="531"/>
      <c r="E104" s="335"/>
    </row>
    <row r="105" spans="3:7" ht="12.75">
      <c r="C105" s="531"/>
      <c r="D105" s="335"/>
      <c r="E105" s="335"/>
      <c r="F105" s="335">
        <f>F103+2500</f>
        <v>56097.62713999999</v>
      </c>
      <c r="G105" s="529"/>
    </row>
    <row r="106" spans="3:7" ht="12.75">
      <c r="C106" s="531"/>
      <c r="D106" s="335"/>
      <c r="E106" s="335"/>
      <c r="G106" s="169"/>
    </row>
    <row r="107" ht="12.75">
      <c r="E107" s="335"/>
    </row>
  </sheetData>
  <sheetProtection/>
  <mergeCells count="107">
    <mergeCell ref="B102:C102"/>
    <mergeCell ref="B103:C103"/>
    <mergeCell ref="B96:C96"/>
    <mergeCell ref="B97:C97"/>
    <mergeCell ref="B98:C98"/>
    <mergeCell ref="B99:C99"/>
    <mergeCell ref="B100:C100"/>
    <mergeCell ref="B101:C101"/>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66:C66"/>
    <mergeCell ref="B68:C68"/>
    <mergeCell ref="B72:C72"/>
    <mergeCell ref="B73:C73"/>
    <mergeCell ref="B74:C74"/>
    <mergeCell ref="B75:C75"/>
    <mergeCell ref="B69:C69"/>
    <mergeCell ref="B70:C70"/>
    <mergeCell ref="B71:C71"/>
    <mergeCell ref="B67:C67"/>
    <mergeCell ref="B61:C61"/>
    <mergeCell ref="B62:C62"/>
    <mergeCell ref="B64:C64"/>
    <mergeCell ref="B65:C65"/>
    <mergeCell ref="B58:C58"/>
    <mergeCell ref="B63:C63"/>
    <mergeCell ref="B60:C60"/>
    <mergeCell ref="B53:C53"/>
    <mergeCell ref="B54:C54"/>
    <mergeCell ref="B55:C55"/>
    <mergeCell ref="B56:C56"/>
    <mergeCell ref="B57:C57"/>
    <mergeCell ref="B59:C59"/>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8:A9"/>
    <mergeCell ref="B8:C9"/>
    <mergeCell ref="D8:D9"/>
    <mergeCell ref="E8:E9"/>
    <mergeCell ref="F8:F9"/>
    <mergeCell ref="B10:C10"/>
    <mergeCell ref="B94:C94"/>
    <mergeCell ref="B95:C95"/>
    <mergeCell ref="C1:E1"/>
    <mergeCell ref="C2:E2"/>
    <mergeCell ref="C3:E3"/>
    <mergeCell ref="H3:I3"/>
    <mergeCell ref="C4:E4"/>
    <mergeCell ref="H5:I5"/>
    <mergeCell ref="A6:E6"/>
    <mergeCell ref="B7:C7"/>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L657"/>
  <sheetViews>
    <sheetView view="pageBreakPreview" zoomScale="84" zoomScaleSheetLayoutView="84" workbookViewId="0" topLeftCell="A637">
      <selection activeCell="H580" sqref="H580"/>
    </sheetView>
  </sheetViews>
  <sheetFormatPr defaultColWidth="8.75390625" defaultRowHeight="12.75"/>
  <cols>
    <col min="1" max="1" width="46.00390625" style="25" customWidth="1"/>
    <col min="2" max="2" width="4.75390625" style="16" customWidth="1"/>
    <col min="3" max="3" width="5.375" style="16" customWidth="1"/>
    <col min="4" max="4" width="14.75390625" style="16" customWidth="1"/>
    <col min="5" max="5" width="5.625" style="16" customWidth="1"/>
    <col min="6" max="6" width="16.00390625" style="392" customWidth="1"/>
    <col min="7" max="7" width="18.75390625" style="392" customWidth="1"/>
    <col min="8" max="8" width="16.375" style="392" customWidth="1"/>
    <col min="9" max="9" width="16.25390625" style="7" bestFit="1" customWidth="1"/>
    <col min="10" max="10" width="16.25390625" style="7" customWidth="1"/>
    <col min="11" max="11" width="12.625" style="7" bestFit="1" customWidth="1"/>
    <col min="12" max="12" width="12.375" style="7" bestFit="1" customWidth="1"/>
    <col min="13" max="16384" width="8.75390625" style="7" customWidth="1"/>
  </cols>
  <sheetData>
    <row r="1" spans="1:8" ht="15.75">
      <c r="A1" s="12"/>
      <c r="B1" s="12"/>
      <c r="C1" s="12"/>
      <c r="D1" s="12"/>
      <c r="F1" s="616" t="s">
        <v>521</v>
      </c>
      <c r="G1" s="616"/>
      <c r="H1" s="616"/>
    </row>
    <row r="2" spans="6:8" ht="15.75">
      <c r="F2" s="616" t="s">
        <v>405</v>
      </c>
      <c r="G2" s="616"/>
      <c r="H2" s="616"/>
    </row>
    <row r="3" spans="6:8" ht="15.75">
      <c r="F3" s="616" t="s">
        <v>406</v>
      </c>
      <c r="G3" s="616"/>
      <c r="H3" s="616"/>
    </row>
    <row r="4" spans="6:8" ht="15.75" customHeight="1">
      <c r="F4" s="645" t="s">
        <v>942</v>
      </c>
      <c r="G4" s="616"/>
      <c r="H4" s="616"/>
    </row>
    <row r="5" ht="4.5" customHeight="1"/>
    <row r="6" spans="1:8" ht="15.75">
      <c r="A6" s="642" t="s">
        <v>407</v>
      </c>
      <c r="B6" s="642"/>
      <c r="C6" s="642"/>
      <c r="D6" s="642"/>
      <c r="E6" s="642"/>
      <c r="F6" s="642"/>
      <c r="G6" s="642"/>
      <c r="H6" s="642"/>
    </row>
    <row r="7" spans="1:8" ht="16.5" customHeight="1">
      <c r="A7" s="642" t="s">
        <v>852</v>
      </c>
      <c r="B7" s="642"/>
      <c r="C7" s="642"/>
      <c r="D7" s="642"/>
      <c r="E7" s="642"/>
      <c r="F7" s="642"/>
      <c r="G7" s="642"/>
      <c r="H7" s="642"/>
    </row>
    <row r="8" spans="1:8" ht="15.75" customHeight="1">
      <c r="A8" s="642" t="s">
        <v>134</v>
      </c>
      <c r="B8" s="642"/>
      <c r="C8" s="642"/>
      <c r="D8" s="642"/>
      <c r="E8" s="642"/>
      <c r="F8" s="642"/>
      <c r="G8" s="642"/>
      <c r="H8" s="642"/>
    </row>
    <row r="9" spans="1:8" ht="15.75" customHeight="1">
      <c r="A9" s="10"/>
      <c r="B9" s="10"/>
      <c r="C9" s="393"/>
      <c r="D9" s="393"/>
      <c r="E9" s="393"/>
      <c r="F9" s="393"/>
      <c r="G9" s="393"/>
      <c r="H9" s="391" t="s">
        <v>371</v>
      </c>
    </row>
    <row r="10" spans="1:8" ht="12" customHeight="1">
      <c r="A10" s="643" t="s">
        <v>347</v>
      </c>
      <c r="B10" s="643" t="s">
        <v>142</v>
      </c>
      <c r="C10" s="643" t="s">
        <v>143</v>
      </c>
      <c r="D10" s="643" t="s">
        <v>349</v>
      </c>
      <c r="E10" s="643" t="s">
        <v>144</v>
      </c>
      <c r="F10" s="644" t="s">
        <v>547</v>
      </c>
      <c r="G10" s="644" t="s">
        <v>351</v>
      </c>
      <c r="H10" s="644"/>
    </row>
    <row r="11" spans="1:8" ht="52.5" customHeight="1">
      <c r="A11" s="643"/>
      <c r="B11" s="643"/>
      <c r="C11" s="643"/>
      <c r="D11" s="643"/>
      <c r="E11" s="643"/>
      <c r="F11" s="644"/>
      <c r="G11" s="57" t="s">
        <v>133</v>
      </c>
      <c r="H11" s="57" t="s">
        <v>245</v>
      </c>
    </row>
    <row r="12" spans="1:8" s="395" customFormat="1" ht="12" customHeight="1">
      <c r="A12" s="79">
        <v>1</v>
      </c>
      <c r="B12" s="79">
        <v>2</v>
      </c>
      <c r="C12" s="79">
        <v>3</v>
      </c>
      <c r="D12" s="79">
        <v>4</v>
      </c>
      <c r="E12" s="79">
        <v>5</v>
      </c>
      <c r="F12" s="57">
        <v>6</v>
      </c>
      <c r="G12" s="57">
        <v>7</v>
      </c>
      <c r="H12" s="394">
        <v>8</v>
      </c>
    </row>
    <row r="13" spans="1:12" s="396" customFormat="1" ht="18.75" customHeight="1">
      <c r="A13" s="137" t="s">
        <v>145</v>
      </c>
      <c r="B13" s="138" t="s">
        <v>146</v>
      </c>
      <c r="C13" s="138" t="s">
        <v>147</v>
      </c>
      <c r="D13" s="138" t="s">
        <v>320</v>
      </c>
      <c r="E13" s="138" t="s">
        <v>409</v>
      </c>
      <c r="F13" s="301">
        <f>G13+H13</f>
        <v>45240.354680000004</v>
      </c>
      <c r="G13" s="301">
        <f>G14+G20+G35+G48+G66+G70+G76+G82+G45</f>
        <v>39600.76901</v>
      </c>
      <c r="H13" s="301">
        <f>H14+H20+H35+H48+H66+H82+H45</f>
        <v>5639.58567</v>
      </c>
      <c r="K13" s="397"/>
      <c r="L13" s="397"/>
    </row>
    <row r="14" spans="1:8" s="398" customFormat="1" ht="47.25" customHeight="1">
      <c r="A14" s="139" t="s">
        <v>355</v>
      </c>
      <c r="B14" s="23" t="s">
        <v>146</v>
      </c>
      <c r="C14" s="23" t="s">
        <v>148</v>
      </c>
      <c r="D14" s="23" t="s">
        <v>320</v>
      </c>
      <c r="E14" s="23" t="s">
        <v>409</v>
      </c>
      <c r="F14" s="280">
        <f>G14+H14</f>
        <v>1836.31</v>
      </c>
      <c r="G14" s="280">
        <f aca="true" t="shared" si="0" ref="G14:H17">G15</f>
        <v>1836.31</v>
      </c>
      <c r="H14" s="288">
        <f t="shared" si="0"/>
        <v>0</v>
      </c>
    </row>
    <row r="15" spans="1:8" s="400" customFormat="1" ht="33" customHeight="1">
      <c r="A15" s="62" t="s">
        <v>149</v>
      </c>
      <c r="B15" s="17" t="s">
        <v>146</v>
      </c>
      <c r="C15" s="17" t="s">
        <v>148</v>
      </c>
      <c r="D15" s="17" t="s">
        <v>10</v>
      </c>
      <c r="E15" s="17" t="s">
        <v>409</v>
      </c>
      <c r="F15" s="149">
        <f aca="true" t="shared" si="1" ref="F15:F36">G15+H15</f>
        <v>1836.31</v>
      </c>
      <c r="G15" s="149">
        <f t="shared" si="0"/>
        <v>1836.31</v>
      </c>
      <c r="H15" s="149">
        <f t="shared" si="0"/>
        <v>0</v>
      </c>
    </row>
    <row r="16" spans="1:8" s="400" customFormat="1" ht="48" customHeight="1">
      <c r="A16" s="62" t="s">
        <v>150</v>
      </c>
      <c r="B16" s="17" t="s">
        <v>146</v>
      </c>
      <c r="C16" s="17" t="s">
        <v>148</v>
      </c>
      <c r="D16" s="17" t="s">
        <v>11</v>
      </c>
      <c r="E16" s="17" t="s">
        <v>409</v>
      </c>
      <c r="F16" s="149">
        <f t="shared" si="1"/>
        <v>1836.31</v>
      </c>
      <c r="G16" s="149">
        <f t="shared" si="0"/>
        <v>1836.31</v>
      </c>
      <c r="H16" s="149">
        <f t="shared" si="0"/>
        <v>0</v>
      </c>
    </row>
    <row r="17" spans="1:8" s="415" customFormat="1" ht="16.5" customHeight="1">
      <c r="A17" s="88" t="s">
        <v>414</v>
      </c>
      <c r="B17" s="52" t="s">
        <v>146</v>
      </c>
      <c r="C17" s="52" t="s">
        <v>148</v>
      </c>
      <c r="D17" s="52" t="s">
        <v>12</v>
      </c>
      <c r="E17" s="52" t="s">
        <v>409</v>
      </c>
      <c r="F17" s="152">
        <f t="shared" si="1"/>
        <v>1836.31</v>
      </c>
      <c r="G17" s="152">
        <f>G18</f>
        <v>1836.31</v>
      </c>
      <c r="H17" s="152">
        <f t="shared" si="0"/>
        <v>0</v>
      </c>
    </row>
    <row r="18" spans="1:8" s="400" customFormat="1" ht="95.25" customHeight="1">
      <c r="A18" s="62" t="s">
        <v>184</v>
      </c>
      <c r="B18" s="17" t="s">
        <v>146</v>
      </c>
      <c r="C18" s="17" t="s">
        <v>148</v>
      </c>
      <c r="D18" s="17" t="s">
        <v>12</v>
      </c>
      <c r="E18" s="17" t="s">
        <v>151</v>
      </c>
      <c r="F18" s="149">
        <f t="shared" si="1"/>
        <v>1836.31</v>
      </c>
      <c r="G18" s="149">
        <f>G19</f>
        <v>1836.31</v>
      </c>
      <c r="H18" s="149"/>
    </row>
    <row r="19" spans="1:8" s="400" customFormat="1" ht="33.75" customHeight="1">
      <c r="A19" s="62" t="s">
        <v>186</v>
      </c>
      <c r="B19" s="17" t="s">
        <v>146</v>
      </c>
      <c r="C19" s="17" t="s">
        <v>148</v>
      </c>
      <c r="D19" s="17" t="s">
        <v>12</v>
      </c>
      <c r="E19" s="17" t="s">
        <v>185</v>
      </c>
      <c r="F19" s="149">
        <f>G19+H19</f>
        <v>1836.31</v>
      </c>
      <c r="G19" s="149">
        <f>1836.31</f>
        <v>1836.31</v>
      </c>
      <c r="H19" s="149"/>
    </row>
    <row r="20" spans="1:10" s="398" customFormat="1" ht="65.25" customHeight="1">
      <c r="A20" s="139" t="s">
        <v>152</v>
      </c>
      <c r="B20" s="23" t="s">
        <v>146</v>
      </c>
      <c r="C20" s="23" t="s">
        <v>153</v>
      </c>
      <c r="D20" s="23" t="s">
        <v>320</v>
      </c>
      <c r="E20" s="23" t="s">
        <v>409</v>
      </c>
      <c r="F20" s="280">
        <f t="shared" si="1"/>
        <v>3847.8</v>
      </c>
      <c r="G20" s="280">
        <f>G21</f>
        <v>3847.8</v>
      </c>
      <c r="H20" s="288">
        <f>H21</f>
        <v>0</v>
      </c>
      <c r="J20" s="399"/>
    </row>
    <row r="21" spans="1:8" s="400" customFormat="1" ht="33" customHeight="1">
      <c r="A21" s="62" t="s">
        <v>149</v>
      </c>
      <c r="B21" s="17" t="s">
        <v>146</v>
      </c>
      <c r="C21" s="17" t="s">
        <v>153</v>
      </c>
      <c r="D21" s="17" t="s">
        <v>10</v>
      </c>
      <c r="E21" s="17" t="s">
        <v>409</v>
      </c>
      <c r="F21" s="149">
        <f t="shared" si="1"/>
        <v>3847.8</v>
      </c>
      <c r="G21" s="149">
        <f>G22</f>
        <v>3847.8</v>
      </c>
      <c r="H21" s="149">
        <f>H22</f>
        <v>0</v>
      </c>
    </row>
    <row r="22" spans="1:8" s="400" customFormat="1" ht="47.25" customHeight="1">
      <c r="A22" s="62" t="s">
        <v>150</v>
      </c>
      <c r="B22" s="17" t="s">
        <v>146</v>
      </c>
      <c r="C22" s="17" t="s">
        <v>153</v>
      </c>
      <c r="D22" s="17" t="s">
        <v>11</v>
      </c>
      <c r="E22" s="17" t="s">
        <v>409</v>
      </c>
      <c r="F22" s="149">
        <f t="shared" si="1"/>
        <v>3847.8</v>
      </c>
      <c r="G22" s="149">
        <f>G28+G23</f>
        <v>3847.8</v>
      </c>
      <c r="H22" s="149">
        <f>H28+H23</f>
        <v>0</v>
      </c>
    </row>
    <row r="23" spans="1:8" s="415" customFormat="1" ht="33.75" customHeight="1">
      <c r="A23" s="88" t="s">
        <v>179</v>
      </c>
      <c r="B23" s="52" t="s">
        <v>146</v>
      </c>
      <c r="C23" s="52" t="s">
        <v>153</v>
      </c>
      <c r="D23" s="52" t="s">
        <v>13</v>
      </c>
      <c r="E23" s="52" t="s">
        <v>409</v>
      </c>
      <c r="F23" s="152">
        <f t="shared" si="1"/>
        <v>1683</v>
      </c>
      <c r="G23" s="152">
        <f>G24+G26</f>
        <v>1683</v>
      </c>
      <c r="H23" s="152"/>
    </row>
    <row r="24" spans="1:8" s="400" customFormat="1" ht="98.25" customHeight="1">
      <c r="A24" s="62" t="s">
        <v>184</v>
      </c>
      <c r="B24" s="17" t="s">
        <v>146</v>
      </c>
      <c r="C24" s="17" t="s">
        <v>153</v>
      </c>
      <c r="D24" s="17" t="s">
        <v>13</v>
      </c>
      <c r="E24" s="18" t="s">
        <v>151</v>
      </c>
      <c r="F24" s="149">
        <f t="shared" si="1"/>
        <v>1668</v>
      </c>
      <c r="G24" s="149">
        <f>G25</f>
        <v>1668</v>
      </c>
      <c r="H24" s="149"/>
    </row>
    <row r="25" spans="1:8" s="400" customFormat="1" ht="35.25" customHeight="1">
      <c r="A25" s="62" t="s">
        <v>186</v>
      </c>
      <c r="B25" s="17" t="s">
        <v>146</v>
      </c>
      <c r="C25" s="17" t="s">
        <v>153</v>
      </c>
      <c r="D25" s="17" t="s">
        <v>13</v>
      </c>
      <c r="E25" s="18" t="s">
        <v>185</v>
      </c>
      <c r="F25" s="149">
        <f t="shared" si="1"/>
        <v>1668</v>
      </c>
      <c r="G25" s="336">
        <v>1668</v>
      </c>
      <c r="H25" s="149"/>
    </row>
    <row r="26" spans="1:8" s="400" customFormat="1" ht="35.25" customHeight="1">
      <c r="A26" s="54" t="s">
        <v>187</v>
      </c>
      <c r="B26" s="18" t="s">
        <v>146</v>
      </c>
      <c r="C26" s="18" t="s">
        <v>153</v>
      </c>
      <c r="D26" s="18" t="s">
        <v>13</v>
      </c>
      <c r="E26" s="18" t="s">
        <v>155</v>
      </c>
      <c r="F26" s="149">
        <f>G26+H26</f>
        <v>15</v>
      </c>
      <c r="G26" s="149">
        <f>G27</f>
        <v>15</v>
      </c>
      <c r="H26" s="149">
        <f>H27</f>
        <v>0</v>
      </c>
    </row>
    <row r="27" spans="1:8" s="400" customFormat="1" ht="48" customHeight="1">
      <c r="A27" s="54" t="s">
        <v>188</v>
      </c>
      <c r="B27" s="18" t="s">
        <v>146</v>
      </c>
      <c r="C27" s="18" t="s">
        <v>153</v>
      </c>
      <c r="D27" s="18" t="s">
        <v>13</v>
      </c>
      <c r="E27" s="18" t="s">
        <v>189</v>
      </c>
      <c r="F27" s="149">
        <f>G27+H27</f>
        <v>15</v>
      </c>
      <c r="G27" s="149">
        <v>15</v>
      </c>
      <c r="H27" s="149"/>
    </row>
    <row r="28" spans="1:9" s="415" customFormat="1" ht="48.75" customHeight="1">
      <c r="A28" s="88" t="s">
        <v>154</v>
      </c>
      <c r="B28" s="52" t="s">
        <v>146</v>
      </c>
      <c r="C28" s="52" t="s">
        <v>153</v>
      </c>
      <c r="D28" s="52" t="s">
        <v>14</v>
      </c>
      <c r="E28" s="52" t="s">
        <v>409</v>
      </c>
      <c r="F28" s="152">
        <f t="shared" si="1"/>
        <v>2164.8</v>
      </c>
      <c r="G28" s="152">
        <f>G29+G31+G33</f>
        <v>2164.8</v>
      </c>
      <c r="H28" s="152">
        <f>SUM(H29:H32)</f>
        <v>0</v>
      </c>
      <c r="I28" s="514"/>
    </row>
    <row r="29" spans="1:8" s="400" customFormat="1" ht="94.5" customHeight="1">
      <c r="A29" s="62" t="s">
        <v>184</v>
      </c>
      <c r="B29" s="17" t="s">
        <v>146</v>
      </c>
      <c r="C29" s="17" t="s">
        <v>153</v>
      </c>
      <c r="D29" s="17" t="s">
        <v>14</v>
      </c>
      <c r="E29" s="17" t="s">
        <v>151</v>
      </c>
      <c r="F29" s="149">
        <f t="shared" si="1"/>
        <v>1320.6870000000001</v>
      </c>
      <c r="G29" s="149">
        <f>G30</f>
        <v>1320.6870000000001</v>
      </c>
      <c r="H29" s="149"/>
    </row>
    <row r="30" spans="1:8" s="400" customFormat="1" ht="35.25" customHeight="1">
      <c r="A30" s="62" t="s">
        <v>186</v>
      </c>
      <c r="B30" s="17" t="s">
        <v>146</v>
      </c>
      <c r="C30" s="17" t="s">
        <v>153</v>
      </c>
      <c r="D30" s="17" t="s">
        <v>14</v>
      </c>
      <c r="E30" s="17" t="s">
        <v>185</v>
      </c>
      <c r="F30" s="149">
        <f t="shared" si="1"/>
        <v>1320.6870000000001</v>
      </c>
      <c r="G30" s="149">
        <f>1820.9-197.166-238.432-64.615</f>
        <v>1320.6870000000001</v>
      </c>
      <c r="H30" s="149"/>
    </row>
    <row r="31" spans="1:8" s="400" customFormat="1" ht="33" customHeight="1">
      <c r="A31" s="62" t="s">
        <v>187</v>
      </c>
      <c r="B31" s="17" t="s">
        <v>146</v>
      </c>
      <c r="C31" s="17" t="s">
        <v>153</v>
      </c>
      <c r="D31" s="17" t="s">
        <v>14</v>
      </c>
      <c r="E31" s="17" t="s">
        <v>155</v>
      </c>
      <c r="F31" s="149">
        <f t="shared" si="1"/>
        <v>839.113</v>
      </c>
      <c r="G31" s="149">
        <f>G32</f>
        <v>839.113</v>
      </c>
      <c r="H31" s="149"/>
    </row>
    <row r="32" spans="1:8" s="400" customFormat="1" ht="50.25" customHeight="1">
      <c r="A32" s="62" t="s">
        <v>188</v>
      </c>
      <c r="B32" s="17" t="s">
        <v>146</v>
      </c>
      <c r="C32" s="17" t="s">
        <v>153</v>
      </c>
      <c r="D32" s="17" t="s">
        <v>14</v>
      </c>
      <c r="E32" s="17" t="s">
        <v>189</v>
      </c>
      <c r="F32" s="149">
        <f t="shared" si="1"/>
        <v>839.113</v>
      </c>
      <c r="G32" s="149">
        <f>2164.8-1820.9-5+197.166+238.432+64.615</f>
        <v>839.113</v>
      </c>
      <c r="H32" s="149"/>
    </row>
    <row r="33" spans="1:8" s="400" customFormat="1" ht="19.5" customHeight="1">
      <c r="A33" s="62" t="s">
        <v>192</v>
      </c>
      <c r="B33" s="17" t="s">
        <v>146</v>
      </c>
      <c r="C33" s="17" t="s">
        <v>153</v>
      </c>
      <c r="D33" s="17" t="s">
        <v>14</v>
      </c>
      <c r="E33" s="17" t="s">
        <v>193</v>
      </c>
      <c r="F33" s="149">
        <f>G33+H33</f>
        <v>5</v>
      </c>
      <c r="G33" s="149">
        <f>G34</f>
        <v>5</v>
      </c>
      <c r="H33" s="149"/>
    </row>
    <row r="34" spans="1:8" s="400" customFormat="1" ht="18.75" customHeight="1">
      <c r="A34" s="62" t="s">
        <v>190</v>
      </c>
      <c r="B34" s="17" t="s">
        <v>146</v>
      </c>
      <c r="C34" s="17" t="s">
        <v>153</v>
      </c>
      <c r="D34" s="17" t="s">
        <v>14</v>
      </c>
      <c r="E34" s="17" t="s">
        <v>191</v>
      </c>
      <c r="F34" s="149">
        <f>G34+H34</f>
        <v>5</v>
      </c>
      <c r="G34" s="149">
        <v>5</v>
      </c>
      <c r="H34" s="149"/>
    </row>
    <row r="35" spans="1:10" s="398" customFormat="1" ht="82.5" customHeight="1">
      <c r="A35" s="139" t="s">
        <v>338</v>
      </c>
      <c r="B35" s="23" t="s">
        <v>146</v>
      </c>
      <c r="C35" s="23" t="s">
        <v>157</v>
      </c>
      <c r="D35" s="23" t="s">
        <v>320</v>
      </c>
      <c r="E35" s="23" t="s">
        <v>409</v>
      </c>
      <c r="F35" s="280">
        <f t="shared" si="1"/>
        <v>19100.332</v>
      </c>
      <c r="G35" s="280">
        <f>G36</f>
        <v>19100.332</v>
      </c>
      <c r="H35" s="288"/>
      <c r="I35" s="7"/>
      <c r="J35" s="401"/>
    </row>
    <row r="36" spans="1:9" s="400" customFormat="1" ht="33.75" customHeight="1">
      <c r="A36" s="62" t="s">
        <v>149</v>
      </c>
      <c r="B36" s="17" t="s">
        <v>146</v>
      </c>
      <c r="C36" s="17" t="s">
        <v>157</v>
      </c>
      <c r="D36" s="17" t="s">
        <v>10</v>
      </c>
      <c r="E36" s="17" t="s">
        <v>409</v>
      </c>
      <c r="F36" s="149">
        <f t="shared" si="1"/>
        <v>19100.332</v>
      </c>
      <c r="G36" s="149">
        <f>G37</f>
        <v>19100.332</v>
      </c>
      <c r="H36" s="149"/>
      <c r="I36" s="437"/>
    </row>
    <row r="37" spans="1:8" s="392" customFormat="1" ht="47.25" customHeight="1">
      <c r="A37" s="54" t="s">
        <v>150</v>
      </c>
      <c r="B37" s="18" t="s">
        <v>146</v>
      </c>
      <c r="C37" s="18" t="s">
        <v>157</v>
      </c>
      <c r="D37" s="17" t="s">
        <v>11</v>
      </c>
      <c r="E37" s="18" t="s">
        <v>409</v>
      </c>
      <c r="F37" s="149">
        <f>G37+H37</f>
        <v>19100.332</v>
      </c>
      <c r="G37" s="149">
        <f>G38</f>
        <v>19100.332</v>
      </c>
      <c r="H37" s="149">
        <f>H38</f>
        <v>0</v>
      </c>
    </row>
    <row r="38" spans="1:10" s="415" customFormat="1" ht="48.75" customHeight="1">
      <c r="A38" s="88" t="s">
        <v>154</v>
      </c>
      <c r="B38" s="52" t="s">
        <v>146</v>
      </c>
      <c r="C38" s="52" t="s">
        <v>157</v>
      </c>
      <c r="D38" s="52" t="s">
        <v>14</v>
      </c>
      <c r="E38" s="52" t="s">
        <v>409</v>
      </c>
      <c r="F38" s="152">
        <f aca="true" t="shared" si="2" ref="F38:F170">G38+H38</f>
        <v>19100.332</v>
      </c>
      <c r="G38" s="152">
        <f>G39+G41+G43</f>
        <v>19100.332</v>
      </c>
      <c r="H38" s="152">
        <f>SUM(H39:H42)</f>
        <v>0</v>
      </c>
      <c r="J38" s="514"/>
    </row>
    <row r="39" spans="1:8" s="400" customFormat="1" ht="96" customHeight="1">
      <c r="A39" s="62" t="s">
        <v>184</v>
      </c>
      <c r="B39" s="17" t="s">
        <v>146</v>
      </c>
      <c r="C39" s="17" t="s">
        <v>157</v>
      </c>
      <c r="D39" s="17" t="s">
        <v>14</v>
      </c>
      <c r="E39" s="17" t="s">
        <v>151</v>
      </c>
      <c r="F39" s="149">
        <f t="shared" si="2"/>
        <v>12047</v>
      </c>
      <c r="G39" s="149">
        <f>G40</f>
        <v>12047</v>
      </c>
      <c r="H39" s="149"/>
    </row>
    <row r="40" spans="1:10" s="400" customFormat="1" ht="39" customHeight="1">
      <c r="A40" s="54" t="s">
        <v>186</v>
      </c>
      <c r="B40" s="18" t="s">
        <v>146</v>
      </c>
      <c r="C40" s="18" t="s">
        <v>157</v>
      </c>
      <c r="D40" s="18" t="s">
        <v>14</v>
      </c>
      <c r="E40" s="18" t="s">
        <v>185</v>
      </c>
      <c r="F40" s="149">
        <f t="shared" si="2"/>
        <v>12047</v>
      </c>
      <c r="G40" s="149">
        <f>9060.7+250+2736.3</f>
        <v>12047</v>
      </c>
      <c r="H40" s="149"/>
      <c r="J40" s="417"/>
    </row>
    <row r="41" spans="1:8" s="400" customFormat="1" ht="33" customHeight="1">
      <c r="A41" s="54" t="s">
        <v>187</v>
      </c>
      <c r="B41" s="18" t="s">
        <v>146</v>
      </c>
      <c r="C41" s="18" t="s">
        <v>157</v>
      </c>
      <c r="D41" s="18" t="s">
        <v>14</v>
      </c>
      <c r="E41" s="18" t="s">
        <v>155</v>
      </c>
      <c r="F41" s="149">
        <f t="shared" si="2"/>
        <v>6545.82</v>
      </c>
      <c r="G41" s="149">
        <f>G42</f>
        <v>6545.82</v>
      </c>
      <c r="H41" s="149"/>
    </row>
    <row r="42" spans="1:8" s="400" customFormat="1" ht="49.5" customHeight="1">
      <c r="A42" s="54" t="s">
        <v>188</v>
      </c>
      <c r="B42" s="18" t="s">
        <v>146</v>
      </c>
      <c r="C42" s="18" t="s">
        <v>157</v>
      </c>
      <c r="D42" s="18" t="s">
        <v>14</v>
      </c>
      <c r="E42" s="18" t="s">
        <v>189</v>
      </c>
      <c r="F42" s="149">
        <f t="shared" si="2"/>
        <v>6545.82</v>
      </c>
      <c r="G42" s="149">
        <f>6545.82</f>
        <v>6545.82</v>
      </c>
      <c r="H42" s="149"/>
    </row>
    <row r="43" spans="1:8" s="400" customFormat="1" ht="18" customHeight="1">
      <c r="A43" s="54" t="s">
        <v>192</v>
      </c>
      <c r="B43" s="18" t="s">
        <v>146</v>
      </c>
      <c r="C43" s="18" t="s">
        <v>157</v>
      </c>
      <c r="D43" s="18" t="s">
        <v>14</v>
      </c>
      <c r="E43" s="18" t="s">
        <v>193</v>
      </c>
      <c r="F43" s="149">
        <f t="shared" si="2"/>
        <v>507.512</v>
      </c>
      <c r="G43" s="149">
        <f>G44</f>
        <v>507.512</v>
      </c>
      <c r="H43" s="149"/>
    </row>
    <row r="44" spans="1:8" s="400" customFormat="1" ht="17.25" customHeight="1">
      <c r="A44" s="140" t="s">
        <v>190</v>
      </c>
      <c r="B44" s="18" t="s">
        <v>146</v>
      </c>
      <c r="C44" s="18" t="s">
        <v>157</v>
      </c>
      <c r="D44" s="18" t="s">
        <v>14</v>
      </c>
      <c r="E44" s="18" t="s">
        <v>191</v>
      </c>
      <c r="F44" s="149">
        <f t="shared" si="2"/>
        <v>507.512</v>
      </c>
      <c r="G44" s="149">
        <f>492-40.158+55.67</f>
        <v>507.512</v>
      </c>
      <c r="H44" s="149"/>
    </row>
    <row r="45" spans="1:8" s="400" customFormat="1" ht="49.5" customHeight="1">
      <c r="A45" s="140" t="s">
        <v>738</v>
      </c>
      <c r="B45" s="18" t="s">
        <v>146</v>
      </c>
      <c r="C45" s="18" t="s">
        <v>389</v>
      </c>
      <c r="D45" s="18" t="s">
        <v>461</v>
      </c>
      <c r="E45" s="18" t="s">
        <v>409</v>
      </c>
      <c r="F45" s="149">
        <f>H45</f>
        <v>26.012800000000002</v>
      </c>
      <c r="G45" s="149"/>
      <c r="H45" s="149">
        <f>H46</f>
        <v>26.012800000000002</v>
      </c>
    </row>
    <row r="46" spans="1:8" s="400" customFormat="1" ht="33.75" customHeight="1">
      <c r="A46" s="54" t="s">
        <v>187</v>
      </c>
      <c r="B46" s="18" t="s">
        <v>146</v>
      </c>
      <c r="C46" s="18" t="s">
        <v>389</v>
      </c>
      <c r="D46" s="18" t="s">
        <v>461</v>
      </c>
      <c r="E46" s="18" t="s">
        <v>155</v>
      </c>
      <c r="F46" s="149">
        <f>H46</f>
        <v>26.012800000000002</v>
      </c>
      <c r="G46" s="149"/>
      <c r="H46" s="149">
        <f>H47</f>
        <v>26.012800000000002</v>
      </c>
    </row>
    <row r="47" spans="1:8" s="400" customFormat="1" ht="52.5" customHeight="1">
      <c r="A47" s="54" t="s">
        <v>188</v>
      </c>
      <c r="B47" s="18" t="s">
        <v>146</v>
      </c>
      <c r="C47" s="18" t="s">
        <v>389</v>
      </c>
      <c r="D47" s="18" t="s">
        <v>461</v>
      </c>
      <c r="E47" s="18" t="s">
        <v>189</v>
      </c>
      <c r="F47" s="149">
        <f>H47</f>
        <v>26.012800000000002</v>
      </c>
      <c r="G47" s="149"/>
      <c r="H47" s="149">
        <f>26.012+0.0008</f>
        <v>26.012800000000002</v>
      </c>
    </row>
    <row r="48" spans="1:10" s="398" customFormat="1" ht="63" customHeight="1">
      <c r="A48" s="141" t="s">
        <v>398</v>
      </c>
      <c r="B48" s="134" t="s">
        <v>146</v>
      </c>
      <c r="C48" s="134" t="s">
        <v>159</v>
      </c>
      <c r="D48" s="134" t="s">
        <v>320</v>
      </c>
      <c r="E48" s="134" t="s">
        <v>409</v>
      </c>
      <c r="F48" s="281">
        <f>G48+H48</f>
        <v>8140.620000000001</v>
      </c>
      <c r="G48" s="281">
        <f>G49</f>
        <v>8140.620000000001</v>
      </c>
      <c r="H48" s="281">
        <f>H49</f>
        <v>0</v>
      </c>
      <c r="J48" s="402"/>
    </row>
    <row r="49" spans="1:8" ht="33.75" customHeight="1">
      <c r="A49" s="62" t="s">
        <v>358</v>
      </c>
      <c r="B49" s="17" t="s">
        <v>146</v>
      </c>
      <c r="C49" s="17" t="s">
        <v>159</v>
      </c>
      <c r="D49" s="17" t="s">
        <v>10</v>
      </c>
      <c r="E49" s="17" t="s">
        <v>409</v>
      </c>
      <c r="F49" s="149">
        <f t="shared" si="2"/>
        <v>8140.620000000001</v>
      </c>
      <c r="G49" s="149">
        <f>G50</f>
        <v>8140.620000000001</v>
      </c>
      <c r="H49" s="149">
        <f>H50</f>
        <v>0</v>
      </c>
    </row>
    <row r="50" spans="1:8" ht="47.25" customHeight="1">
      <c r="A50" s="62" t="s">
        <v>150</v>
      </c>
      <c r="B50" s="17" t="s">
        <v>146</v>
      </c>
      <c r="C50" s="17" t="s">
        <v>159</v>
      </c>
      <c r="D50" s="17" t="s">
        <v>11</v>
      </c>
      <c r="E50" s="17" t="s">
        <v>409</v>
      </c>
      <c r="F50" s="149">
        <f t="shared" si="2"/>
        <v>8140.620000000001</v>
      </c>
      <c r="G50" s="149">
        <f>G51+G58+G63</f>
        <v>8140.620000000001</v>
      </c>
      <c r="H50" s="149">
        <f>H51+H58+H63</f>
        <v>0</v>
      </c>
    </row>
    <row r="51" spans="1:9" s="415" customFormat="1" ht="48.75" customHeight="1">
      <c r="A51" s="59" t="s">
        <v>291</v>
      </c>
      <c r="B51" s="52" t="s">
        <v>146</v>
      </c>
      <c r="C51" s="52" t="s">
        <v>159</v>
      </c>
      <c r="D51" s="52" t="s">
        <v>14</v>
      </c>
      <c r="E51" s="52" t="s">
        <v>409</v>
      </c>
      <c r="F51" s="152">
        <f t="shared" si="2"/>
        <v>6459.920000000001</v>
      </c>
      <c r="G51" s="152">
        <f>G52+G54+G56</f>
        <v>6459.920000000001</v>
      </c>
      <c r="H51" s="152">
        <f>SUM(H52:H57)</f>
        <v>0</v>
      </c>
      <c r="I51" s="515"/>
    </row>
    <row r="52" spans="1:8" s="400" customFormat="1" ht="95.25" customHeight="1">
      <c r="A52" s="54" t="s">
        <v>184</v>
      </c>
      <c r="B52" s="18" t="s">
        <v>146</v>
      </c>
      <c r="C52" s="18" t="s">
        <v>159</v>
      </c>
      <c r="D52" s="18" t="s">
        <v>14</v>
      </c>
      <c r="E52" s="18" t="s">
        <v>151</v>
      </c>
      <c r="F52" s="149">
        <f t="shared" si="2"/>
        <v>5591.120000000001</v>
      </c>
      <c r="G52" s="149">
        <f>G53</f>
        <v>5591.120000000001</v>
      </c>
      <c r="H52" s="149"/>
    </row>
    <row r="53" spans="1:8" s="400" customFormat="1" ht="33" customHeight="1">
      <c r="A53" s="54" t="s">
        <v>186</v>
      </c>
      <c r="B53" s="18" t="s">
        <v>146</v>
      </c>
      <c r="C53" s="18" t="s">
        <v>159</v>
      </c>
      <c r="D53" s="18" t="s">
        <v>14</v>
      </c>
      <c r="E53" s="18" t="s">
        <v>185</v>
      </c>
      <c r="F53" s="149">
        <f t="shared" si="2"/>
        <v>5591.120000000001</v>
      </c>
      <c r="G53" s="149">
        <f>4284.5+12.7+1293.9+0.02</f>
        <v>5591.120000000001</v>
      </c>
      <c r="H53" s="149"/>
    </row>
    <row r="54" spans="1:8" s="400" customFormat="1" ht="33" customHeight="1">
      <c r="A54" s="54" t="s">
        <v>187</v>
      </c>
      <c r="B54" s="18" t="s">
        <v>146</v>
      </c>
      <c r="C54" s="18" t="s">
        <v>159</v>
      </c>
      <c r="D54" s="18" t="s">
        <v>14</v>
      </c>
      <c r="E54" s="18" t="s">
        <v>155</v>
      </c>
      <c r="F54" s="149">
        <f t="shared" si="2"/>
        <v>860.8</v>
      </c>
      <c r="G54" s="149">
        <f>G55</f>
        <v>860.8</v>
      </c>
      <c r="H54" s="149"/>
    </row>
    <row r="55" spans="1:10" s="400" customFormat="1" ht="48" customHeight="1">
      <c r="A55" s="54" t="s">
        <v>188</v>
      </c>
      <c r="B55" s="18" t="s">
        <v>146</v>
      </c>
      <c r="C55" s="18" t="s">
        <v>159</v>
      </c>
      <c r="D55" s="18" t="s">
        <v>14</v>
      </c>
      <c r="E55" s="18" t="s">
        <v>189</v>
      </c>
      <c r="F55" s="149">
        <f t="shared" si="2"/>
        <v>860.8</v>
      </c>
      <c r="G55" s="149">
        <f>860.8</f>
        <v>860.8</v>
      </c>
      <c r="H55" s="149"/>
      <c r="J55" s="417"/>
    </row>
    <row r="56" spans="1:8" s="400" customFormat="1" ht="17.25" customHeight="1">
      <c r="A56" s="54" t="s">
        <v>192</v>
      </c>
      <c r="B56" s="18" t="s">
        <v>146</v>
      </c>
      <c r="C56" s="18" t="s">
        <v>159</v>
      </c>
      <c r="D56" s="18" t="s">
        <v>14</v>
      </c>
      <c r="E56" s="18" t="s">
        <v>193</v>
      </c>
      <c r="F56" s="149">
        <f t="shared" si="2"/>
        <v>8</v>
      </c>
      <c r="G56" s="149">
        <f>G57</f>
        <v>8</v>
      </c>
      <c r="H56" s="149"/>
    </row>
    <row r="57" spans="1:8" ht="17.25" customHeight="1">
      <c r="A57" s="54" t="s">
        <v>190</v>
      </c>
      <c r="B57" s="18" t="s">
        <v>146</v>
      </c>
      <c r="C57" s="18" t="s">
        <v>159</v>
      </c>
      <c r="D57" s="18" t="s">
        <v>14</v>
      </c>
      <c r="E57" s="18" t="s">
        <v>191</v>
      </c>
      <c r="F57" s="149">
        <f t="shared" si="2"/>
        <v>8</v>
      </c>
      <c r="G57" s="149">
        <v>8</v>
      </c>
      <c r="H57" s="149"/>
    </row>
    <row r="58" spans="1:9" s="439" customFormat="1" ht="48" customHeight="1">
      <c r="A58" s="59" t="s">
        <v>161</v>
      </c>
      <c r="B58" s="55" t="s">
        <v>146</v>
      </c>
      <c r="C58" s="55" t="s">
        <v>159</v>
      </c>
      <c r="D58" s="55" t="s">
        <v>14</v>
      </c>
      <c r="E58" s="55" t="s">
        <v>409</v>
      </c>
      <c r="F58" s="152">
        <f t="shared" si="2"/>
        <v>95.3</v>
      </c>
      <c r="G58" s="152">
        <f>G59+G61</f>
        <v>95.3</v>
      </c>
      <c r="H58" s="152"/>
      <c r="I58" s="438"/>
    </row>
    <row r="59" spans="1:8" ht="34.5" customHeight="1">
      <c r="A59" s="54" t="s">
        <v>187</v>
      </c>
      <c r="B59" s="18" t="s">
        <v>146</v>
      </c>
      <c r="C59" s="18" t="s">
        <v>159</v>
      </c>
      <c r="D59" s="18" t="s">
        <v>14</v>
      </c>
      <c r="E59" s="18" t="s">
        <v>155</v>
      </c>
      <c r="F59" s="149">
        <f t="shared" si="2"/>
        <v>93.3</v>
      </c>
      <c r="G59" s="149">
        <f>G60</f>
        <v>93.3</v>
      </c>
      <c r="H59" s="149"/>
    </row>
    <row r="60" spans="1:8" s="400" customFormat="1" ht="45.75" customHeight="1">
      <c r="A60" s="54" t="s">
        <v>188</v>
      </c>
      <c r="B60" s="18" t="s">
        <v>146</v>
      </c>
      <c r="C60" s="18" t="s">
        <v>159</v>
      </c>
      <c r="D60" s="18" t="s">
        <v>14</v>
      </c>
      <c r="E60" s="18" t="s">
        <v>189</v>
      </c>
      <c r="F60" s="149">
        <f t="shared" si="2"/>
        <v>93.3</v>
      </c>
      <c r="G60" s="149">
        <v>93.3</v>
      </c>
      <c r="H60" s="149"/>
    </row>
    <row r="61" spans="1:8" s="400" customFormat="1" ht="16.5" customHeight="1">
      <c r="A61" s="54" t="s">
        <v>192</v>
      </c>
      <c r="B61" s="18" t="s">
        <v>146</v>
      </c>
      <c r="C61" s="18" t="s">
        <v>159</v>
      </c>
      <c r="D61" s="18" t="s">
        <v>14</v>
      </c>
      <c r="E61" s="18" t="s">
        <v>193</v>
      </c>
      <c r="F61" s="149">
        <f t="shared" si="2"/>
        <v>2</v>
      </c>
      <c r="G61" s="149">
        <f>G62</f>
        <v>2</v>
      </c>
      <c r="H61" s="149"/>
    </row>
    <row r="62" spans="1:8" s="400" customFormat="1" ht="17.25" customHeight="1">
      <c r="A62" s="140" t="s">
        <v>190</v>
      </c>
      <c r="B62" s="18" t="s">
        <v>146</v>
      </c>
      <c r="C62" s="18" t="s">
        <v>159</v>
      </c>
      <c r="D62" s="18" t="s">
        <v>14</v>
      </c>
      <c r="E62" s="18" t="s">
        <v>191</v>
      </c>
      <c r="F62" s="149">
        <f t="shared" si="2"/>
        <v>2</v>
      </c>
      <c r="G62" s="149">
        <v>2</v>
      </c>
      <c r="H62" s="149"/>
    </row>
    <row r="63" spans="1:8" s="415" customFormat="1" ht="16.5" customHeight="1">
      <c r="A63" s="59" t="s">
        <v>162</v>
      </c>
      <c r="B63" s="55" t="s">
        <v>146</v>
      </c>
      <c r="C63" s="55" t="s">
        <v>159</v>
      </c>
      <c r="D63" s="55" t="s">
        <v>15</v>
      </c>
      <c r="E63" s="55" t="s">
        <v>409</v>
      </c>
      <c r="F63" s="152">
        <f t="shared" si="2"/>
        <v>1585.4</v>
      </c>
      <c r="G63" s="152">
        <f>G65</f>
        <v>1585.4</v>
      </c>
      <c r="H63" s="152">
        <f>H65</f>
        <v>0</v>
      </c>
    </row>
    <row r="64" spans="1:9" s="400" customFormat="1" ht="94.5" customHeight="1">
      <c r="A64" s="54" t="s">
        <v>184</v>
      </c>
      <c r="B64" s="18" t="s">
        <v>146</v>
      </c>
      <c r="C64" s="18" t="s">
        <v>159</v>
      </c>
      <c r="D64" s="18" t="s">
        <v>15</v>
      </c>
      <c r="E64" s="18" t="s">
        <v>151</v>
      </c>
      <c r="F64" s="149">
        <f t="shared" si="2"/>
        <v>1585.4</v>
      </c>
      <c r="G64" s="149">
        <f>G65</f>
        <v>1585.4</v>
      </c>
      <c r="H64" s="149"/>
      <c r="I64" s="516"/>
    </row>
    <row r="65" spans="1:8" s="400" customFormat="1" ht="34.5" customHeight="1">
      <c r="A65" s="54" t="s">
        <v>186</v>
      </c>
      <c r="B65" s="18" t="s">
        <v>146</v>
      </c>
      <c r="C65" s="18" t="s">
        <v>159</v>
      </c>
      <c r="D65" s="18" t="s">
        <v>15</v>
      </c>
      <c r="E65" s="18" t="s">
        <v>185</v>
      </c>
      <c r="F65" s="149">
        <f t="shared" si="2"/>
        <v>1585.4</v>
      </c>
      <c r="G65" s="149">
        <v>1585.4</v>
      </c>
      <c r="H65" s="149"/>
    </row>
    <row r="66" spans="1:8" s="398" customFormat="1" ht="18.75" customHeight="1" hidden="1">
      <c r="A66" s="54" t="s">
        <v>163</v>
      </c>
      <c r="B66" s="18" t="s">
        <v>146</v>
      </c>
      <c r="C66" s="18" t="s">
        <v>164</v>
      </c>
      <c r="D66" s="18" t="s">
        <v>408</v>
      </c>
      <c r="E66" s="18" t="s">
        <v>409</v>
      </c>
      <c r="F66" s="149">
        <f>G66+H66</f>
        <v>0</v>
      </c>
      <c r="G66" s="149">
        <f>G67</f>
        <v>0</v>
      </c>
      <c r="H66" s="149">
        <f>H67</f>
        <v>0</v>
      </c>
    </row>
    <row r="67" spans="1:8" s="400" customFormat="1" ht="33" customHeight="1" hidden="1">
      <c r="A67" s="54" t="s">
        <v>165</v>
      </c>
      <c r="B67" s="18" t="s">
        <v>146</v>
      </c>
      <c r="C67" s="18" t="s">
        <v>164</v>
      </c>
      <c r="D67" s="18" t="s">
        <v>284</v>
      </c>
      <c r="E67" s="18" t="s">
        <v>409</v>
      </c>
      <c r="F67" s="149">
        <f t="shared" si="2"/>
        <v>0</v>
      </c>
      <c r="G67" s="149">
        <f>G69</f>
        <v>0</v>
      </c>
      <c r="H67" s="149">
        <f>H69</f>
        <v>0</v>
      </c>
    </row>
    <row r="68" spans="1:8" s="400" customFormat="1" ht="16.5" customHeight="1" hidden="1">
      <c r="A68" s="54" t="s">
        <v>192</v>
      </c>
      <c r="B68" s="18" t="s">
        <v>146</v>
      </c>
      <c r="C68" s="18" t="s">
        <v>164</v>
      </c>
      <c r="D68" s="18" t="s">
        <v>284</v>
      </c>
      <c r="E68" s="18" t="s">
        <v>193</v>
      </c>
      <c r="F68" s="149">
        <f t="shared" si="2"/>
        <v>0</v>
      </c>
      <c r="G68" s="149">
        <f>G69</f>
        <v>0</v>
      </c>
      <c r="H68" s="149"/>
    </row>
    <row r="69" spans="1:8" s="400" customFormat="1" ht="18.75" customHeight="1" hidden="1">
      <c r="A69" s="54" t="s">
        <v>194</v>
      </c>
      <c r="B69" s="18" t="s">
        <v>146</v>
      </c>
      <c r="C69" s="18" t="s">
        <v>164</v>
      </c>
      <c r="D69" s="18" t="s">
        <v>284</v>
      </c>
      <c r="E69" s="18" t="s">
        <v>195</v>
      </c>
      <c r="F69" s="149">
        <f t="shared" si="2"/>
        <v>0</v>
      </c>
      <c r="G69" s="149">
        <v>0</v>
      </c>
      <c r="H69" s="149"/>
    </row>
    <row r="70" spans="1:8" s="400" customFormat="1" ht="39" customHeight="1" hidden="1">
      <c r="A70" s="142" t="s">
        <v>504</v>
      </c>
      <c r="B70" s="135" t="s">
        <v>146</v>
      </c>
      <c r="C70" s="135" t="s">
        <v>392</v>
      </c>
      <c r="D70" s="135" t="s">
        <v>320</v>
      </c>
      <c r="E70" s="135" t="s">
        <v>409</v>
      </c>
      <c r="F70" s="289">
        <f t="shared" si="2"/>
        <v>0</v>
      </c>
      <c r="G70" s="289">
        <f>G71</f>
        <v>0</v>
      </c>
      <c r="H70" s="289"/>
    </row>
    <row r="71" spans="1:8" s="400" customFormat="1" ht="39" customHeight="1" hidden="1">
      <c r="A71" s="54" t="s">
        <v>505</v>
      </c>
      <c r="B71" s="18" t="s">
        <v>146</v>
      </c>
      <c r="C71" s="18" t="s">
        <v>392</v>
      </c>
      <c r="D71" s="18" t="s">
        <v>10</v>
      </c>
      <c r="E71" s="18" t="s">
        <v>409</v>
      </c>
      <c r="F71" s="149">
        <f t="shared" si="2"/>
        <v>0</v>
      </c>
      <c r="G71" s="149">
        <f>G72</f>
        <v>0</v>
      </c>
      <c r="H71" s="149"/>
    </row>
    <row r="72" spans="1:8" s="400" customFormat="1" ht="39" customHeight="1" hidden="1">
      <c r="A72" s="54" t="s">
        <v>150</v>
      </c>
      <c r="B72" s="18" t="s">
        <v>146</v>
      </c>
      <c r="C72" s="18" t="s">
        <v>392</v>
      </c>
      <c r="D72" s="18" t="s">
        <v>11</v>
      </c>
      <c r="E72" s="18" t="s">
        <v>409</v>
      </c>
      <c r="F72" s="149">
        <f t="shared" si="2"/>
        <v>0</v>
      </c>
      <c r="G72" s="149">
        <f>G73</f>
        <v>0</v>
      </c>
      <c r="H72" s="149"/>
    </row>
    <row r="73" spans="1:8" s="400" customFormat="1" ht="39" customHeight="1" hidden="1">
      <c r="A73" s="54" t="s">
        <v>506</v>
      </c>
      <c r="B73" s="18" t="s">
        <v>146</v>
      </c>
      <c r="C73" s="18" t="s">
        <v>392</v>
      </c>
      <c r="D73" s="18" t="s">
        <v>507</v>
      </c>
      <c r="E73" s="18" t="s">
        <v>409</v>
      </c>
      <c r="F73" s="149">
        <f t="shared" si="2"/>
        <v>0</v>
      </c>
      <c r="G73" s="149">
        <f>G74</f>
        <v>0</v>
      </c>
      <c r="H73" s="149"/>
    </row>
    <row r="74" spans="1:8" s="400" customFormat="1" ht="39" customHeight="1" hidden="1">
      <c r="A74" s="54" t="s">
        <v>192</v>
      </c>
      <c r="B74" s="18" t="s">
        <v>146</v>
      </c>
      <c r="C74" s="18" t="s">
        <v>392</v>
      </c>
      <c r="D74" s="18" t="s">
        <v>507</v>
      </c>
      <c r="E74" s="18" t="s">
        <v>193</v>
      </c>
      <c r="F74" s="149">
        <f t="shared" si="2"/>
        <v>0</v>
      </c>
      <c r="G74" s="149">
        <f>G75</f>
        <v>0</v>
      </c>
      <c r="H74" s="149"/>
    </row>
    <row r="75" spans="1:8" s="400" customFormat="1" ht="17.25" customHeight="1" hidden="1">
      <c r="A75" s="607" t="s">
        <v>555</v>
      </c>
      <c r="B75" s="18" t="s">
        <v>146</v>
      </c>
      <c r="C75" s="18" t="s">
        <v>392</v>
      </c>
      <c r="D75" s="18" t="s">
        <v>507</v>
      </c>
      <c r="E75" s="18" t="s">
        <v>556</v>
      </c>
      <c r="F75" s="149">
        <f t="shared" si="2"/>
        <v>0</v>
      </c>
      <c r="G75" s="149">
        <v>0</v>
      </c>
      <c r="H75" s="149"/>
    </row>
    <row r="76" spans="1:8" s="400" customFormat="1" ht="19.5" customHeight="1">
      <c r="A76" s="142" t="s">
        <v>163</v>
      </c>
      <c r="B76" s="135" t="s">
        <v>146</v>
      </c>
      <c r="C76" s="135" t="s">
        <v>164</v>
      </c>
      <c r="D76" s="135" t="s">
        <v>320</v>
      </c>
      <c r="E76" s="135" t="s">
        <v>409</v>
      </c>
      <c r="F76" s="289">
        <f t="shared" si="2"/>
        <v>615.2710000000001</v>
      </c>
      <c r="G76" s="289">
        <f>G77</f>
        <v>615.2710000000001</v>
      </c>
      <c r="H76" s="289"/>
    </row>
    <row r="77" spans="1:8" s="400" customFormat="1" ht="33.75" customHeight="1">
      <c r="A77" s="608" t="s">
        <v>149</v>
      </c>
      <c r="B77" s="18" t="s">
        <v>146</v>
      </c>
      <c r="C77" s="18" t="s">
        <v>164</v>
      </c>
      <c r="D77" s="186" t="s">
        <v>10</v>
      </c>
      <c r="E77" s="186" t="s">
        <v>409</v>
      </c>
      <c r="F77" s="149">
        <f t="shared" si="2"/>
        <v>615.2710000000001</v>
      </c>
      <c r="G77" s="149">
        <f>G78</f>
        <v>615.2710000000001</v>
      </c>
      <c r="H77" s="149"/>
    </row>
    <row r="78" spans="1:8" s="400" customFormat="1" ht="49.5" customHeight="1">
      <c r="A78" s="608" t="s">
        <v>150</v>
      </c>
      <c r="B78" s="18" t="s">
        <v>146</v>
      </c>
      <c r="C78" s="18" t="s">
        <v>164</v>
      </c>
      <c r="D78" s="186" t="s">
        <v>11</v>
      </c>
      <c r="E78" s="186" t="s">
        <v>409</v>
      </c>
      <c r="F78" s="149">
        <f t="shared" si="2"/>
        <v>615.2710000000001</v>
      </c>
      <c r="G78" s="149">
        <f>G79</f>
        <v>615.2710000000001</v>
      </c>
      <c r="H78" s="149"/>
    </row>
    <row r="79" spans="1:8" s="400" customFormat="1" ht="33" customHeight="1">
      <c r="A79" s="608" t="s">
        <v>557</v>
      </c>
      <c r="B79" s="18" t="s">
        <v>146</v>
      </c>
      <c r="C79" s="18" t="s">
        <v>164</v>
      </c>
      <c r="D79" s="18" t="s">
        <v>558</v>
      </c>
      <c r="E79" s="186" t="s">
        <v>409</v>
      </c>
      <c r="F79" s="149">
        <f t="shared" si="2"/>
        <v>615.2710000000001</v>
      </c>
      <c r="G79" s="149">
        <f>G80</f>
        <v>615.2710000000001</v>
      </c>
      <c r="H79" s="149"/>
    </row>
    <row r="80" spans="1:8" s="400" customFormat="1" ht="20.25" customHeight="1">
      <c r="A80" s="608" t="s">
        <v>192</v>
      </c>
      <c r="B80" s="18" t="s">
        <v>146</v>
      </c>
      <c r="C80" s="18" t="s">
        <v>164</v>
      </c>
      <c r="D80" s="18" t="s">
        <v>558</v>
      </c>
      <c r="E80" s="186" t="s">
        <v>193</v>
      </c>
      <c r="F80" s="149">
        <f t="shared" si="2"/>
        <v>615.2710000000001</v>
      </c>
      <c r="G80" s="149">
        <f>G81</f>
        <v>615.2710000000001</v>
      </c>
      <c r="H80" s="149"/>
    </row>
    <row r="81" spans="1:8" s="400" customFormat="1" ht="18" customHeight="1">
      <c r="A81" s="608" t="s">
        <v>194</v>
      </c>
      <c r="B81" s="18" t="s">
        <v>146</v>
      </c>
      <c r="C81" s="18" t="s">
        <v>164</v>
      </c>
      <c r="D81" s="18" t="s">
        <v>558</v>
      </c>
      <c r="E81" s="186" t="s">
        <v>195</v>
      </c>
      <c r="F81" s="149">
        <f t="shared" si="2"/>
        <v>615.2710000000001</v>
      </c>
      <c r="G81" s="149">
        <f>100-11.45-24.964+600-25.292-6.497-16.526</f>
        <v>615.2710000000001</v>
      </c>
      <c r="H81" s="149"/>
    </row>
    <row r="82" spans="1:12" s="398" customFormat="1" ht="18.75" customHeight="1">
      <c r="A82" s="143" t="s">
        <v>357</v>
      </c>
      <c r="B82" s="41" t="s">
        <v>146</v>
      </c>
      <c r="C82" s="41" t="s">
        <v>166</v>
      </c>
      <c r="D82" s="41" t="s">
        <v>320</v>
      </c>
      <c r="E82" s="41" t="s">
        <v>409</v>
      </c>
      <c r="F82" s="294">
        <f t="shared" si="2"/>
        <v>11674.008880000001</v>
      </c>
      <c r="G82" s="294">
        <f>G83+G120+G153+G171+G109+G174+G177+G191+G194</f>
        <v>6060.436010000001</v>
      </c>
      <c r="H82" s="294">
        <f>H83</f>
        <v>5613.57287</v>
      </c>
      <c r="J82" s="402"/>
      <c r="K82" s="399"/>
      <c r="L82" s="399"/>
    </row>
    <row r="83" spans="1:8" s="400" customFormat="1" ht="17.25" customHeight="1">
      <c r="A83" s="54" t="s">
        <v>167</v>
      </c>
      <c r="B83" s="18" t="s">
        <v>146</v>
      </c>
      <c r="C83" s="18" t="s">
        <v>166</v>
      </c>
      <c r="D83" s="18" t="s">
        <v>320</v>
      </c>
      <c r="E83" s="18" t="s">
        <v>409</v>
      </c>
      <c r="F83" s="149">
        <f t="shared" si="2"/>
        <v>5613.57287</v>
      </c>
      <c r="G83" s="149">
        <f>G84+G89+G94+G99+G104</f>
        <v>0</v>
      </c>
      <c r="H83" s="149">
        <f>H84+H89+H94+H99+H104+H143+H107</f>
        <v>5613.57287</v>
      </c>
    </row>
    <row r="84" spans="1:10" s="405" customFormat="1" ht="64.5" customHeight="1">
      <c r="A84" s="59" t="s">
        <v>168</v>
      </c>
      <c r="B84" s="55" t="s">
        <v>146</v>
      </c>
      <c r="C84" s="55" t="s">
        <v>166</v>
      </c>
      <c r="D84" s="55" t="s">
        <v>16</v>
      </c>
      <c r="E84" s="55" t="s">
        <v>409</v>
      </c>
      <c r="F84" s="152">
        <f t="shared" si="2"/>
        <v>794.861</v>
      </c>
      <c r="G84" s="152">
        <f>SUM(G85:G88)</f>
        <v>0</v>
      </c>
      <c r="H84" s="152">
        <f>H85+H87</f>
        <v>794.861</v>
      </c>
      <c r="J84" s="426"/>
    </row>
    <row r="85" spans="1:9" s="400" customFormat="1" ht="96" customHeight="1">
      <c r="A85" s="54" t="s">
        <v>184</v>
      </c>
      <c r="B85" s="18" t="s">
        <v>146</v>
      </c>
      <c r="C85" s="18" t="s">
        <v>166</v>
      </c>
      <c r="D85" s="18" t="s">
        <v>16</v>
      </c>
      <c r="E85" s="18" t="s">
        <v>151</v>
      </c>
      <c r="F85" s="149">
        <f t="shared" si="2"/>
        <v>542.93</v>
      </c>
      <c r="G85" s="149"/>
      <c r="H85" s="149">
        <f>H86</f>
        <v>542.93</v>
      </c>
      <c r="I85" s="417"/>
    </row>
    <row r="86" spans="1:8" s="400" customFormat="1" ht="33" customHeight="1">
      <c r="A86" s="109" t="s">
        <v>186</v>
      </c>
      <c r="B86" s="18" t="s">
        <v>146</v>
      </c>
      <c r="C86" s="18" t="s">
        <v>166</v>
      </c>
      <c r="D86" s="18" t="s">
        <v>16</v>
      </c>
      <c r="E86" s="18" t="s">
        <v>185</v>
      </c>
      <c r="F86" s="149">
        <f t="shared" si="2"/>
        <v>542.93</v>
      </c>
      <c r="G86" s="149"/>
      <c r="H86" s="149">
        <v>542.93</v>
      </c>
    </row>
    <row r="87" spans="1:8" s="400" customFormat="1" ht="33.75" customHeight="1">
      <c r="A87" s="54" t="s">
        <v>187</v>
      </c>
      <c r="B87" s="18" t="s">
        <v>146</v>
      </c>
      <c r="C87" s="18" t="s">
        <v>166</v>
      </c>
      <c r="D87" s="18" t="s">
        <v>16</v>
      </c>
      <c r="E87" s="18" t="s">
        <v>155</v>
      </c>
      <c r="F87" s="149">
        <f t="shared" si="2"/>
        <v>251.931</v>
      </c>
      <c r="G87" s="149"/>
      <c r="H87" s="149">
        <f>H88</f>
        <v>251.931</v>
      </c>
    </row>
    <row r="88" spans="1:8" s="400" customFormat="1" ht="48.75" customHeight="1">
      <c r="A88" s="109" t="s">
        <v>188</v>
      </c>
      <c r="B88" s="18" t="s">
        <v>146</v>
      </c>
      <c r="C88" s="18" t="s">
        <v>166</v>
      </c>
      <c r="D88" s="18" t="s">
        <v>16</v>
      </c>
      <c r="E88" s="18" t="s">
        <v>189</v>
      </c>
      <c r="F88" s="149">
        <f t="shared" si="2"/>
        <v>251.931</v>
      </c>
      <c r="G88" s="149"/>
      <c r="H88" s="149">
        <v>251.931</v>
      </c>
    </row>
    <row r="89" spans="1:10" s="440" customFormat="1" ht="48" customHeight="1">
      <c r="A89" s="59" t="s">
        <v>419</v>
      </c>
      <c r="B89" s="55" t="s">
        <v>146</v>
      </c>
      <c r="C89" s="55" t="s">
        <v>166</v>
      </c>
      <c r="D89" s="4" t="s">
        <v>861</v>
      </c>
      <c r="E89" s="55" t="s">
        <v>409</v>
      </c>
      <c r="F89" s="152">
        <f t="shared" si="2"/>
        <v>1197.7910000000002</v>
      </c>
      <c r="G89" s="152">
        <f>SUM(G90:G93)</f>
        <v>0</v>
      </c>
      <c r="H89" s="152">
        <f>H90+H92</f>
        <v>1197.7910000000002</v>
      </c>
      <c r="J89" s="441"/>
    </row>
    <row r="90" spans="1:8" s="432" customFormat="1" ht="96.75" customHeight="1">
      <c r="A90" s="54" t="s">
        <v>184</v>
      </c>
      <c r="B90" s="18" t="s">
        <v>146</v>
      </c>
      <c r="C90" s="18" t="s">
        <v>166</v>
      </c>
      <c r="D90" s="18" t="s">
        <v>861</v>
      </c>
      <c r="E90" s="18" t="s">
        <v>151</v>
      </c>
      <c r="F90" s="149">
        <f t="shared" si="2"/>
        <v>1139.911</v>
      </c>
      <c r="G90" s="294"/>
      <c r="H90" s="149">
        <f>H91</f>
        <v>1139.911</v>
      </c>
    </row>
    <row r="91" spans="1:8" s="400" customFormat="1" ht="31.5" customHeight="1">
      <c r="A91" s="109" t="s">
        <v>186</v>
      </c>
      <c r="B91" s="18" t="s">
        <v>146</v>
      </c>
      <c r="C91" s="18" t="s">
        <v>166</v>
      </c>
      <c r="D91" s="18" t="s">
        <v>861</v>
      </c>
      <c r="E91" s="18" t="s">
        <v>185</v>
      </c>
      <c r="F91" s="149">
        <f t="shared" si="2"/>
        <v>1139.911</v>
      </c>
      <c r="G91" s="149"/>
      <c r="H91" s="149">
        <v>1139.911</v>
      </c>
    </row>
    <row r="92" spans="1:8" s="400" customFormat="1" ht="33.75" customHeight="1">
      <c r="A92" s="54" t="s">
        <v>187</v>
      </c>
      <c r="B92" s="18" t="s">
        <v>146</v>
      </c>
      <c r="C92" s="18" t="s">
        <v>166</v>
      </c>
      <c r="D92" s="18" t="s">
        <v>861</v>
      </c>
      <c r="E92" s="18" t="s">
        <v>155</v>
      </c>
      <c r="F92" s="149">
        <f t="shared" si="2"/>
        <v>57.88</v>
      </c>
      <c r="G92" s="149"/>
      <c r="H92" s="149">
        <f>H93</f>
        <v>57.88</v>
      </c>
    </row>
    <row r="93" spans="1:8" s="400" customFormat="1" ht="49.5" customHeight="1">
      <c r="A93" s="109" t="s">
        <v>188</v>
      </c>
      <c r="B93" s="18" t="s">
        <v>146</v>
      </c>
      <c r="C93" s="18" t="s">
        <v>166</v>
      </c>
      <c r="D93" s="18" t="s">
        <v>861</v>
      </c>
      <c r="E93" s="18" t="s">
        <v>189</v>
      </c>
      <c r="F93" s="149">
        <f t="shared" si="2"/>
        <v>57.88</v>
      </c>
      <c r="G93" s="149"/>
      <c r="H93" s="149">
        <v>57.88</v>
      </c>
    </row>
    <row r="94" spans="1:10" s="405" customFormat="1" ht="49.5" customHeight="1">
      <c r="A94" s="59" t="s">
        <v>169</v>
      </c>
      <c r="B94" s="55" t="s">
        <v>146</v>
      </c>
      <c r="C94" s="55" t="s">
        <v>166</v>
      </c>
      <c r="D94" s="55" t="s">
        <v>861</v>
      </c>
      <c r="E94" s="55" t="s">
        <v>409</v>
      </c>
      <c r="F94" s="152">
        <f t="shared" si="2"/>
        <v>766.4250000000001</v>
      </c>
      <c r="G94" s="152">
        <f>SUM(G95:G98)</f>
        <v>0</v>
      </c>
      <c r="H94" s="152">
        <f>H95+H97</f>
        <v>766.4250000000001</v>
      </c>
      <c r="J94" s="426"/>
    </row>
    <row r="95" spans="1:8" s="400" customFormat="1" ht="97.5" customHeight="1">
      <c r="A95" s="62" t="s">
        <v>184</v>
      </c>
      <c r="B95" s="17" t="s">
        <v>146</v>
      </c>
      <c r="C95" s="17" t="s">
        <v>166</v>
      </c>
      <c r="D95" s="18" t="s">
        <v>861</v>
      </c>
      <c r="E95" s="17" t="s">
        <v>151</v>
      </c>
      <c r="F95" s="149">
        <f t="shared" si="2"/>
        <v>719.07</v>
      </c>
      <c r="G95" s="149"/>
      <c r="H95" s="149">
        <f>H96</f>
        <v>719.07</v>
      </c>
    </row>
    <row r="96" spans="1:8" s="400" customFormat="1" ht="31.5" customHeight="1">
      <c r="A96" s="47" t="s">
        <v>186</v>
      </c>
      <c r="B96" s="17" t="s">
        <v>146</v>
      </c>
      <c r="C96" s="17" t="s">
        <v>166</v>
      </c>
      <c r="D96" s="18" t="s">
        <v>861</v>
      </c>
      <c r="E96" s="17" t="s">
        <v>185</v>
      </c>
      <c r="F96" s="149">
        <f t="shared" si="2"/>
        <v>719.07</v>
      </c>
      <c r="G96" s="149"/>
      <c r="H96" s="149">
        <v>719.07</v>
      </c>
    </row>
    <row r="97" spans="1:8" s="400" customFormat="1" ht="35.25" customHeight="1">
      <c r="A97" s="62" t="s">
        <v>187</v>
      </c>
      <c r="B97" s="17" t="s">
        <v>146</v>
      </c>
      <c r="C97" s="17" t="s">
        <v>166</v>
      </c>
      <c r="D97" s="18" t="s">
        <v>861</v>
      </c>
      <c r="E97" s="17" t="s">
        <v>155</v>
      </c>
      <c r="F97" s="149">
        <f t="shared" si="2"/>
        <v>47.355</v>
      </c>
      <c r="G97" s="149"/>
      <c r="H97" s="149">
        <f>H98</f>
        <v>47.355</v>
      </c>
    </row>
    <row r="98" spans="1:8" s="400" customFormat="1" ht="48" customHeight="1">
      <c r="A98" s="109" t="s">
        <v>188</v>
      </c>
      <c r="B98" s="18" t="s">
        <v>146</v>
      </c>
      <c r="C98" s="18" t="s">
        <v>166</v>
      </c>
      <c r="D98" s="18" t="s">
        <v>861</v>
      </c>
      <c r="E98" s="18" t="s">
        <v>189</v>
      </c>
      <c r="F98" s="149">
        <f t="shared" si="2"/>
        <v>47.355</v>
      </c>
      <c r="G98" s="149"/>
      <c r="H98" s="149">
        <v>47.355</v>
      </c>
    </row>
    <row r="99" spans="1:10" s="405" customFormat="1" ht="108.75" customHeight="1">
      <c r="A99" s="59" t="s">
        <v>17</v>
      </c>
      <c r="B99" s="55" t="s">
        <v>146</v>
      </c>
      <c r="C99" s="55" t="s">
        <v>166</v>
      </c>
      <c r="D99" s="55" t="s">
        <v>321</v>
      </c>
      <c r="E99" s="55" t="s">
        <v>409</v>
      </c>
      <c r="F99" s="152">
        <f t="shared" si="2"/>
        <v>1395.192</v>
      </c>
      <c r="G99" s="152">
        <f>SUM(G100:G103)</f>
        <v>0</v>
      </c>
      <c r="H99" s="152">
        <f>H100+H102</f>
        <v>1395.192</v>
      </c>
      <c r="I99" s="442"/>
      <c r="J99" s="442"/>
    </row>
    <row r="100" spans="1:10" s="400" customFormat="1" ht="96" customHeight="1">
      <c r="A100" s="54" t="s">
        <v>184</v>
      </c>
      <c r="B100" s="18" t="s">
        <v>146</v>
      </c>
      <c r="C100" s="18" t="s">
        <v>166</v>
      </c>
      <c r="D100" s="18" t="s">
        <v>321</v>
      </c>
      <c r="E100" s="18" t="s">
        <v>151</v>
      </c>
      <c r="F100" s="149">
        <f t="shared" si="2"/>
        <v>1242.908</v>
      </c>
      <c r="G100" s="149"/>
      <c r="H100" s="149">
        <f>H101</f>
        <v>1242.908</v>
      </c>
      <c r="I100" s="443"/>
      <c r="J100" s="443"/>
    </row>
    <row r="101" spans="1:10" s="400" customFormat="1" ht="31.5" customHeight="1">
      <c r="A101" s="109" t="s">
        <v>186</v>
      </c>
      <c r="B101" s="18" t="s">
        <v>146</v>
      </c>
      <c r="C101" s="18" t="s">
        <v>166</v>
      </c>
      <c r="D101" s="18" t="s">
        <v>321</v>
      </c>
      <c r="E101" s="18" t="s">
        <v>185</v>
      </c>
      <c r="F101" s="149">
        <f t="shared" si="2"/>
        <v>1242.908</v>
      </c>
      <c r="G101" s="149"/>
      <c r="H101" s="149">
        <f>1242.908</f>
        <v>1242.908</v>
      </c>
      <c r="I101" s="443"/>
      <c r="J101" s="443"/>
    </row>
    <row r="102" spans="1:10" s="400" customFormat="1" ht="33" customHeight="1">
      <c r="A102" s="62" t="s">
        <v>187</v>
      </c>
      <c r="B102" s="17" t="s">
        <v>146</v>
      </c>
      <c r="C102" s="17" t="s">
        <v>166</v>
      </c>
      <c r="D102" s="18" t="s">
        <v>321</v>
      </c>
      <c r="E102" s="17" t="s">
        <v>155</v>
      </c>
      <c r="F102" s="149">
        <f t="shared" si="2"/>
        <v>152.284</v>
      </c>
      <c r="G102" s="149"/>
      <c r="H102" s="149">
        <f>H103</f>
        <v>152.284</v>
      </c>
      <c r="I102" s="443"/>
      <c r="J102" s="443"/>
    </row>
    <row r="103" spans="1:10" s="400" customFormat="1" ht="45.75" customHeight="1">
      <c r="A103" s="47" t="s">
        <v>188</v>
      </c>
      <c r="B103" s="17" t="s">
        <v>146</v>
      </c>
      <c r="C103" s="17" t="s">
        <v>166</v>
      </c>
      <c r="D103" s="18" t="s">
        <v>321</v>
      </c>
      <c r="E103" s="17" t="s">
        <v>189</v>
      </c>
      <c r="F103" s="149">
        <f t="shared" si="2"/>
        <v>152.284</v>
      </c>
      <c r="G103" s="149"/>
      <c r="H103" s="149">
        <f>118.254+34.03</f>
        <v>152.284</v>
      </c>
      <c r="I103" s="443"/>
      <c r="J103" s="443"/>
    </row>
    <row r="104" spans="1:10" s="400" customFormat="1" ht="63" customHeight="1">
      <c r="A104" s="87" t="s">
        <v>924</v>
      </c>
      <c r="B104" s="55" t="s">
        <v>146</v>
      </c>
      <c r="C104" s="55" t="s">
        <v>166</v>
      </c>
      <c r="D104" s="55" t="s">
        <v>925</v>
      </c>
      <c r="E104" s="55" t="s">
        <v>409</v>
      </c>
      <c r="F104" s="152">
        <f>G104+H104</f>
        <v>272.232</v>
      </c>
      <c r="G104" s="152"/>
      <c r="H104" s="152">
        <f>H105</f>
        <v>272.232</v>
      </c>
      <c r="I104" s="443"/>
      <c r="J104" s="443"/>
    </row>
    <row r="105" spans="1:10" s="400" customFormat="1" ht="45.75" customHeight="1">
      <c r="A105" s="54" t="s">
        <v>187</v>
      </c>
      <c r="B105" s="18" t="s">
        <v>146</v>
      </c>
      <c r="C105" s="18" t="s">
        <v>166</v>
      </c>
      <c r="D105" s="18" t="s">
        <v>925</v>
      </c>
      <c r="E105" s="18" t="s">
        <v>155</v>
      </c>
      <c r="F105" s="149">
        <f>G105+H105</f>
        <v>272.232</v>
      </c>
      <c r="G105" s="149"/>
      <c r="H105" s="149">
        <f>H106</f>
        <v>272.232</v>
      </c>
      <c r="I105" s="443"/>
      <c r="J105" s="443"/>
    </row>
    <row r="106" spans="1:10" s="400" customFormat="1" ht="45.75" customHeight="1">
      <c r="A106" s="109" t="s">
        <v>188</v>
      </c>
      <c r="B106" s="18" t="s">
        <v>146</v>
      </c>
      <c r="C106" s="18" t="s">
        <v>166</v>
      </c>
      <c r="D106" s="18" t="s">
        <v>925</v>
      </c>
      <c r="E106" s="18" t="s">
        <v>189</v>
      </c>
      <c r="F106" s="149">
        <f>G106+H106</f>
        <v>272.232</v>
      </c>
      <c r="G106" s="149"/>
      <c r="H106" s="149">
        <v>272.232</v>
      </c>
      <c r="I106" s="443"/>
      <c r="J106" s="443"/>
    </row>
    <row r="107" spans="1:8" s="400" customFormat="1" ht="35.25" customHeight="1">
      <c r="A107" s="109" t="s">
        <v>860</v>
      </c>
      <c r="B107" s="18" t="s">
        <v>146</v>
      </c>
      <c r="C107" s="18" t="s">
        <v>166</v>
      </c>
      <c r="D107" s="18" t="s">
        <v>862</v>
      </c>
      <c r="E107" s="18" t="s">
        <v>409</v>
      </c>
      <c r="F107" s="149">
        <f t="shared" si="2"/>
        <v>307.152</v>
      </c>
      <c r="G107" s="149"/>
      <c r="H107" s="149">
        <f>H108</f>
        <v>307.152</v>
      </c>
    </row>
    <row r="108" spans="1:8" s="400" customFormat="1" ht="50.25" customHeight="1">
      <c r="A108" s="109" t="s">
        <v>188</v>
      </c>
      <c r="B108" s="17" t="s">
        <v>146</v>
      </c>
      <c r="C108" s="17" t="s">
        <v>166</v>
      </c>
      <c r="D108" s="18" t="s">
        <v>862</v>
      </c>
      <c r="E108" s="17" t="s">
        <v>189</v>
      </c>
      <c r="F108" s="149">
        <f t="shared" si="2"/>
        <v>307.152</v>
      </c>
      <c r="G108" s="149"/>
      <c r="H108" s="149">
        <v>307.152</v>
      </c>
    </row>
    <row r="109" spans="1:8" s="392" customFormat="1" ht="18.75" customHeight="1" hidden="1">
      <c r="A109" s="144" t="s">
        <v>357</v>
      </c>
      <c r="B109" s="17" t="s">
        <v>146</v>
      </c>
      <c r="C109" s="17" t="s">
        <v>166</v>
      </c>
      <c r="D109" s="41" t="s">
        <v>320</v>
      </c>
      <c r="E109" s="41" t="s">
        <v>409</v>
      </c>
      <c r="F109" s="294">
        <f t="shared" si="2"/>
        <v>0</v>
      </c>
      <c r="G109" s="294">
        <f>G114+G111</f>
        <v>0</v>
      </c>
      <c r="H109" s="294">
        <f>H114+H111</f>
        <v>0</v>
      </c>
    </row>
    <row r="110" spans="1:8" s="403" customFormat="1" ht="81" customHeight="1" hidden="1">
      <c r="A110" s="58" t="s">
        <v>432</v>
      </c>
      <c r="B110" s="17" t="s">
        <v>146</v>
      </c>
      <c r="C110" s="17" t="s">
        <v>166</v>
      </c>
      <c r="D110" s="52" t="s">
        <v>28</v>
      </c>
      <c r="E110" s="52" t="s">
        <v>409</v>
      </c>
      <c r="F110" s="292">
        <f>G110+H110</f>
        <v>0</v>
      </c>
      <c r="G110" s="282">
        <f>G111</f>
        <v>0</v>
      </c>
      <c r="H110" s="283"/>
    </row>
    <row r="111" spans="1:8" s="400" customFormat="1" ht="67.5" customHeight="1" hidden="1">
      <c r="A111" s="109" t="s">
        <v>424</v>
      </c>
      <c r="B111" s="17" t="s">
        <v>146</v>
      </c>
      <c r="C111" s="17" t="s">
        <v>166</v>
      </c>
      <c r="D111" s="18" t="s">
        <v>97</v>
      </c>
      <c r="E111" s="18" t="s">
        <v>211</v>
      </c>
      <c r="F111" s="149">
        <f t="shared" si="2"/>
        <v>0</v>
      </c>
      <c r="G111" s="149">
        <f>G112</f>
        <v>0</v>
      </c>
      <c r="H111" s="294"/>
    </row>
    <row r="112" spans="1:8" s="400" customFormat="1" ht="51" customHeight="1" hidden="1">
      <c r="A112" s="109" t="s">
        <v>210</v>
      </c>
      <c r="B112" s="17" t="s">
        <v>146</v>
      </c>
      <c r="C112" s="17" t="s">
        <v>166</v>
      </c>
      <c r="D112" s="18" t="s">
        <v>97</v>
      </c>
      <c r="E112" s="18" t="s">
        <v>211</v>
      </c>
      <c r="F112" s="149">
        <f t="shared" si="2"/>
        <v>0</v>
      </c>
      <c r="G112" s="149">
        <f>G113</f>
        <v>0</v>
      </c>
      <c r="H112" s="294"/>
    </row>
    <row r="113" spans="1:8" s="400" customFormat="1" ht="19.5" customHeight="1" hidden="1">
      <c r="A113" s="109" t="s">
        <v>423</v>
      </c>
      <c r="B113" s="17" t="s">
        <v>146</v>
      </c>
      <c r="C113" s="17" t="s">
        <v>166</v>
      </c>
      <c r="D113" s="18" t="s">
        <v>97</v>
      </c>
      <c r="E113" s="18" t="s">
        <v>124</v>
      </c>
      <c r="F113" s="149">
        <f t="shared" si="2"/>
        <v>0</v>
      </c>
      <c r="G113" s="149"/>
      <c r="H113" s="294"/>
    </row>
    <row r="114" spans="1:8" s="400" customFormat="1" ht="81" customHeight="1" hidden="1">
      <c r="A114" s="53" t="s">
        <v>130</v>
      </c>
      <c r="B114" s="17" t="s">
        <v>146</v>
      </c>
      <c r="C114" s="17" t="s">
        <v>166</v>
      </c>
      <c r="D114" s="18" t="s">
        <v>464</v>
      </c>
      <c r="E114" s="17" t="s">
        <v>409</v>
      </c>
      <c r="F114" s="149">
        <f t="shared" si="2"/>
        <v>0</v>
      </c>
      <c r="G114" s="149">
        <f>G115</f>
        <v>0</v>
      </c>
      <c r="H114" s="149">
        <f>H115</f>
        <v>0</v>
      </c>
    </row>
    <row r="115" spans="1:8" s="400" customFormat="1" ht="51.75" customHeight="1" hidden="1">
      <c r="A115" s="62" t="s">
        <v>210</v>
      </c>
      <c r="B115" s="17" t="s">
        <v>146</v>
      </c>
      <c r="C115" s="17" t="s">
        <v>166</v>
      </c>
      <c r="D115" s="18" t="s">
        <v>464</v>
      </c>
      <c r="E115" s="17" t="s">
        <v>211</v>
      </c>
      <c r="F115" s="149">
        <f t="shared" si="2"/>
        <v>0</v>
      </c>
      <c r="G115" s="149"/>
      <c r="H115" s="149">
        <f>H116</f>
        <v>0</v>
      </c>
    </row>
    <row r="116" spans="1:8" s="400" customFormat="1" ht="17.25" customHeight="1" hidden="1">
      <c r="A116" s="62" t="s">
        <v>423</v>
      </c>
      <c r="B116" s="17" t="s">
        <v>146</v>
      </c>
      <c r="C116" s="17" t="s">
        <v>166</v>
      </c>
      <c r="D116" s="18" t="s">
        <v>464</v>
      </c>
      <c r="E116" s="17" t="s">
        <v>124</v>
      </c>
      <c r="F116" s="149">
        <f t="shared" si="2"/>
        <v>0</v>
      </c>
      <c r="G116" s="149">
        <v>0</v>
      </c>
      <c r="H116" s="149"/>
    </row>
    <row r="117" spans="1:8" s="400" customFormat="1" ht="66.75" customHeight="1" hidden="1">
      <c r="A117" s="59" t="s">
        <v>789</v>
      </c>
      <c r="B117" s="55" t="s">
        <v>146</v>
      </c>
      <c r="C117" s="55" t="s">
        <v>166</v>
      </c>
      <c r="D117" s="55" t="s">
        <v>790</v>
      </c>
      <c r="E117" s="55" t="s">
        <v>409</v>
      </c>
      <c r="F117" s="152">
        <f>G117+H117</f>
        <v>0</v>
      </c>
      <c r="G117" s="152"/>
      <c r="H117" s="152">
        <f>H118</f>
        <v>0</v>
      </c>
    </row>
    <row r="118" spans="1:8" s="400" customFormat="1" ht="78" customHeight="1" hidden="1">
      <c r="A118" s="54" t="s">
        <v>184</v>
      </c>
      <c r="B118" s="18" t="s">
        <v>146</v>
      </c>
      <c r="C118" s="18" t="s">
        <v>166</v>
      </c>
      <c r="D118" s="18" t="s">
        <v>790</v>
      </c>
      <c r="E118" s="18" t="s">
        <v>151</v>
      </c>
      <c r="F118" s="149">
        <f>G118+H118</f>
        <v>0</v>
      </c>
      <c r="G118" s="149"/>
      <c r="H118" s="149">
        <f>H119</f>
        <v>0</v>
      </c>
    </row>
    <row r="119" spans="1:8" s="400" customFormat="1" ht="35.25" customHeight="1" hidden="1">
      <c r="A119" s="109" t="s">
        <v>186</v>
      </c>
      <c r="B119" s="18" t="s">
        <v>146</v>
      </c>
      <c r="C119" s="18" t="s">
        <v>166</v>
      </c>
      <c r="D119" s="18" t="s">
        <v>790</v>
      </c>
      <c r="E119" s="18" t="s">
        <v>185</v>
      </c>
      <c r="F119" s="149">
        <f>G119+H119</f>
        <v>0</v>
      </c>
      <c r="G119" s="149">
        <v>0</v>
      </c>
      <c r="H119" s="149">
        <v>0</v>
      </c>
    </row>
    <row r="120" spans="1:8" s="404" customFormat="1" ht="34.5" customHeight="1">
      <c r="A120" s="145" t="s">
        <v>149</v>
      </c>
      <c r="B120" s="131" t="s">
        <v>146</v>
      </c>
      <c r="C120" s="131" t="s">
        <v>166</v>
      </c>
      <c r="D120" s="131" t="s">
        <v>10</v>
      </c>
      <c r="E120" s="131" t="s">
        <v>409</v>
      </c>
      <c r="F120" s="284">
        <f t="shared" si="2"/>
        <v>5952.436010000001</v>
      </c>
      <c r="G120" s="284">
        <f>G121</f>
        <v>5952.436010000001</v>
      </c>
      <c r="H120" s="284">
        <f>H121</f>
        <v>0</v>
      </c>
    </row>
    <row r="121" spans="1:8" s="400" customFormat="1" ht="51" customHeight="1">
      <c r="A121" s="62" t="s">
        <v>150</v>
      </c>
      <c r="B121" s="17" t="s">
        <v>146</v>
      </c>
      <c r="C121" s="17" t="s">
        <v>166</v>
      </c>
      <c r="D121" s="17" t="s">
        <v>11</v>
      </c>
      <c r="E121" s="17" t="s">
        <v>409</v>
      </c>
      <c r="F121" s="149">
        <f t="shared" si="2"/>
        <v>5952.436010000001</v>
      </c>
      <c r="G121" s="149">
        <f>G122+G127+G130+G133+G138+G150</f>
        <v>5952.436010000001</v>
      </c>
      <c r="H121" s="149">
        <f>H122</f>
        <v>0</v>
      </c>
    </row>
    <row r="122" spans="1:10" s="415" customFormat="1" ht="49.5" customHeight="1">
      <c r="A122" s="59" t="s">
        <v>559</v>
      </c>
      <c r="B122" s="55" t="s">
        <v>146</v>
      </c>
      <c r="C122" s="55" t="s">
        <v>166</v>
      </c>
      <c r="D122" s="55" t="s">
        <v>14</v>
      </c>
      <c r="E122" s="55" t="s">
        <v>409</v>
      </c>
      <c r="F122" s="152">
        <f>G122+H122</f>
        <v>4080.6200000000003</v>
      </c>
      <c r="G122" s="152">
        <f>G123+G125</f>
        <v>4080.6200000000003</v>
      </c>
      <c r="H122" s="152">
        <f>SUM(H123:H126)</f>
        <v>0</v>
      </c>
      <c r="J122" s="444"/>
    </row>
    <row r="123" spans="1:8" s="400" customFormat="1" ht="96" customHeight="1">
      <c r="A123" s="54" t="s">
        <v>184</v>
      </c>
      <c r="B123" s="18" t="s">
        <v>146</v>
      </c>
      <c r="C123" s="18" t="s">
        <v>166</v>
      </c>
      <c r="D123" s="18" t="s">
        <v>14</v>
      </c>
      <c r="E123" s="18" t="s">
        <v>151</v>
      </c>
      <c r="F123" s="149">
        <f t="shared" si="2"/>
        <v>3994.7200000000003</v>
      </c>
      <c r="G123" s="149">
        <f>G124</f>
        <v>3994.7200000000003</v>
      </c>
      <c r="H123" s="149"/>
    </row>
    <row r="124" spans="1:8" s="400" customFormat="1" ht="34.5" customHeight="1">
      <c r="A124" s="109" t="s">
        <v>186</v>
      </c>
      <c r="B124" s="18" t="s">
        <v>146</v>
      </c>
      <c r="C124" s="18" t="s">
        <v>166</v>
      </c>
      <c r="D124" s="18" t="s">
        <v>14</v>
      </c>
      <c r="E124" s="18" t="s">
        <v>185</v>
      </c>
      <c r="F124" s="149">
        <f t="shared" si="2"/>
        <v>3994.7200000000003</v>
      </c>
      <c r="G124" s="149">
        <f>3025.9+55+913.82</f>
        <v>3994.7200000000003</v>
      </c>
      <c r="H124" s="149"/>
    </row>
    <row r="125" spans="1:8" s="400" customFormat="1" ht="35.25" customHeight="1">
      <c r="A125" s="54" t="s">
        <v>187</v>
      </c>
      <c r="B125" s="18" t="s">
        <v>146</v>
      </c>
      <c r="C125" s="18" t="s">
        <v>166</v>
      </c>
      <c r="D125" s="18" t="s">
        <v>14</v>
      </c>
      <c r="E125" s="18" t="s">
        <v>155</v>
      </c>
      <c r="F125" s="149">
        <f t="shared" si="2"/>
        <v>85.90000000000009</v>
      </c>
      <c r="G125" s="149">
        <f>G126</f>
        <v>85.90000000000009</v>
      </c>
      <c r="H125" s="149"/>
    </row>
    <row r="126" spans="1:8" s="400" customFormat="1" ht="49.5" customHeight="1">
      <c r="A126" s="109" t="s">
        <v>188</v>
      </c>
      <c r="B126" s="18" t="s">
        <v>146</v>
      </c>
      <c r="C126" s="18" t="s">
        <v>166</v>
      </c>
      <c r="D126" s="18" t="s">
        <v>14</v>
      </c>
      <c r="E126" s="18" t="s">
        <v>189</v>
      </c>
      <c r="F126" s="149">
        <f>G126+H126</f>
        <v>85.90000000000009</v>
      </c>
      <c r="G126" s="149">
        <f>4080.62-3994.72</f>
        <v>85.90000000000009</v>
      </c>
      <c r="H126" s="149"/>
    </row>
    <row r="127" spans="1:8" s="403" customFormat="1" ht="15.75" customHeight="1">
      <c r="A127" s="59" t="s">
        <v>196</v>
      </c>
      <c r="B127" s="55" t="s">
        <v>146</v>
      </c>
      <c r="C127" s="55" t="s">
        <v>166</v>
      </c>
      <c r="D127" s="55" t="s">
        <v>18</v>
      </c>
      <c r="E127" s="55" t="s">
        <v>409</v>
      </c>
      <c r="F127" s="152">
        <f>G127+H127</f>
        <v>2</v>
      </c>
      <c r="G127" s="152">
        <f>G128</f>
        <v>2</v>
      </c>
      <c r="H127" s="152">
        <f>H128</f>
        <v>0</v>
      </c>
    </row>
    <row r="128" spans="1:8" s="392" customFormat="1" ht="15.75" customHeight="1">
      <c r="A128" s="54" t="s">
        <v>192</v>
      </c>
      <c r="B128" s="18" t="s">
        <v>146</v>
      </c>
      <c r="C128" s="18" t="s">
        <v>166</v>
      </c>
      <c r="D128" s="18" t="s">
        <v>18</v>
      </c>
      <c r="E128" s="18" t="s">
        <v>193</v>
      </c>
      <c r="F128" s="149">
        <f>G128+H128</f>
        <v>2</v>
      </c>
      <c r="G128" s="149">
        <f>G129</f>
        <v>2</v>
      </c>
      <c r="H128" s="149">
        <f>H129</f>
        <v>0</v>
      </c>
    </row>
    <row r="129" spans="1:8" s="392" customFormat="1" ht="15.75" customHeight="1">
      <c r="A129" s="54" t="s">
        <v>196</v>
      </c>
      <c r="B129" s="18" t="s">
        <v>146</v>
      </c>
      <c r="C129" s="18" t="s">
        <v>166</v>
      </c>
      <c r="D129" s="18" t="s">
        <v>18</v>
      </c>
      <c r="E129" s="18" t="s">
        <v>197</v>
      </c>
      <c r="F129" s="149">
        <f>G129+H129</f>
        <v>2</v>
      </c>
      <c r="G129" s="149">
        <v>2</v>
      </c>
      <c r="H129" s="149"/>
    </row>
    <row r="130" spans="1:8" s="403" customFormat="1" ht="69.75" customHeight="1">
      <c r="A130" s="59" t="s">
        <v>369</v>
      </c>
      <c r="B130" s="55" t="s">
        <v>146</v>
      </c>
      <c r="C130" s="55" t="s">
        <v>166</v>
      </c>
      <c r="D130" s="55" t="s">
        <v>19</v>
      </c>
      <c r="E130" s="55" t="s">
        <v>409</v>
      </c>
      <c r="F130" s="152">
        <f t="shared" si="2"/>
        <v>750</v>
      </c>
      <c r="G130" s="152">
        <f>G131</f>
        <v>750</v>
      </c>
      <c r="H130" s="152">
        <f>H132</f>
        <v>0</v>
      </c>
    </row>
    <row r="131" spans="1:8" s="392" customFormat="1" ht="35.25" customHeight="1">
      <c r="A131" s="54" t="s">
        <v>187</v>
      </c>
      <c r="B131" s="18" t="s">
        <v>146</v>
      </c>
      <c r="C131" s="18" t="s">
        <v>166</v>
      </c>
      <c r="D131" s="17" t="s">
        <v>19</v>
      </c>
      <c r="E131" s="18" t="s">
        <v>155</v>
      </c>
      <c r="F131" s="149">
        <f t="shared" si="2"/>
        <v>750</v>
      </c>
      <c r="G131" s="149">
        <f>G132</f>
        <v>750</v>
      </c>
      <c r="H131" s="149"/>
    </row>
    <row r="132" spans="1:8" s="392" customFormat="1" ht="49.5" customHeight="1">
      <c r="A132" s="136" t="s">
        <v>188</v>
      </c>
      <c r="B132" s="81" t="s">
        <v>146</v>
      </c>
      <c r="C132" s="81" t="s">
        <v>166</v>
      </c>
      <c r="D132" s="81" t="s">
        <v>19</v>
      </c>
      <c r="E132" s="81" t="s">
        <v>189</v>
      </c>
      <c r="F132" s="293">
        <f t="shared" si="2"/>
        <v>750</v>
      </c>
      <c r="G132" s="149">
        <f>430+320</f>
        <v>750</v>
      </c>
      <c r="H132" s="293"/>
    </row>
    <row r="133" spans="1:8" s="392" customFormat="1" ht="16.5" customHeight="1">
      <c r="A133" s="146" t="s">
        <v>515</v>
      </c>
      <c r="B133" s="122" t="s">
        <v>146</v>
      </c>
      <c r="C133" s="122" t="s">
        <v>166</v>
      </c>
      <c r="D133" s="122" t="s">
        <v>516</v>
      </c>
      <c r="E133" s="122" t="s">
        <v>409</v>
      </c>
      <c r="F133" s="299">
        <f aca="true" t="shared" si="3" ref="F133:F142">G133</f>
        <v>1035.0870100000002</v>
      </c>
      <c r="G133" s="152">
        <f>G134+G136</f>
        <v>1035.0870100000002</v>
      </c>
      <c r="H133" s="299"/>
    </row>
    <row r="134" spans="1:8" s="392" customFormat="1" ht="34.5" customHeight="1">
      <c r="A134" s="80" t="s">
        <v>187</v>
      </c>
      <c r="B134" s="81" t="s">
        <v>146</v>
      </c>
      <c r="C134" s="81" t="s">
        <v>166</v>
      </c>
      <c r="D134" s="81" t="s">
        <v>516</v>
      </c>
      <c r="E134" s="81" t="s">
        <v>155</v>
      </c>
      <c r="F134" s="293">
        <f t="shared" si="3"/>
        <v>1035.0870100000002</v>
      </c>
      <c r="G134" s="149">
        <f>G135</f>
        <v>1035.0870100000002</v>
      </c>
      <c r="H134" s="293"/>
    </row>
    <row r="135" spans="1:8" s="392" customFormat="1" ht="49.5" customHeight="1">
      <c r="A135" s="136" t="s">
        <v>188</v>
      </c>
      <c r="B135" s="81" t="s">
        <v>146</v>
      </c>
      <c r="C135" s="81" t="s">
        <v>166</v>
      </c>
      <c r="D135" s="81" t="s">
        <v>516</v>
      </c>
      <c r="E135" s="81" t="s">
        <v>189</v>
      </c>
      <c r="F135" s="293">
        <f t="shared" si="3"/>
        <v>1035.0870100000002</v>
      </c>
      <c r="G135" s="149">
        <f>1402.9-504.6-2+138.78701</f>
        <v>1035.0870100000002</v>
      </c>
      <c r="H135" s="293"/>
    </row>
    <row r="136" spans="1:8" s="392" customFormat="1" ht="21.75" customHeight="1" hidden="1">
      <c r="A136" s="80" t="s">
        <v>192</v>
      </c>
      <c r="B136" s="81" t="s">
        <v>146</v>
      </c>
      <c r="C136" s="81" t="s">
        <v>166</v>
      </c>
      <c r="D136" s="81" t="s">
        <v>516</v>
      </c>
      <c r="E136" s="81" t="s">
        <v>193</v>
      </c>
      <c r="F136" s="293">
        <f t="shared" si="3"/>
        <v>0</v>
      </c>
      <c r="G136" s="149">
        <f>G137</f>
        <v>0</v>
      </c>
      <c r="H136" s="293"/>
    </row>
    <row r="137" spans="1:8" s="392" customFormat="1" ht="21" customHeight="1" hidden="1">
      <c r="A137" s="147" t="s">
        <v>190</v>
      </c>
      <c r="B137" s="81" t="s">
        <v>146</v>
      </c>
      <c r="C137" s="81" t="s">
        <v>166</v>
      </c>
      <c r="D137" s="81" t="s">
        <v>516</v>
      </c>
      <c r="E137" s="81" t="s">
        <v>191</v>
      </c>
      <c r="F137" s="293">
        <f t="shared" si="3"/>
        <v>0</v>
      </c>
      <c r="G137" s="149"/>
      <c r="H137" s="293"/>
    </row>
    <row r="138" spans="1:8" s="405" customFormat="1" ht="18" customHeight="1" hidden="1">
      <c r="A138" s="148" t="s">
        <v>545</v>
      </c>
      <c r="B138" s="122" t="s">
        <v>146</v>
      </c>
      <c r="C138" s="122" t="s">
        <v>166</v>
      </c>
      <c r="D138" s="122" t="s">
        <v>546</v>
      </c>
      <c r="E138" s="122" t="s">
        <v>409</v>
      </c>
      <c r="F138" s="299">
        <f t="shared" si="3"/>
        <v>0</v>
      </c>
      <c r="G138" s="152">
        <f>G140+G141</f>
        <v>0</v>
      </c>
      <c r="H138" s="299"/>
    </row>
    <row r="139" spans="1:8" s="405" customFormat="1" ht="36.75" customHeight="1" hidden="1">
      <c r="A139" s="80" t="s">
        <v>187</v>
      </c>
      <c r="B139" s="81" t="s">
        <v>146</v>
      </c>
      <c r="C139" s="81" t="s">
        <v>166</v>
      </c>
      <c r="D139" s="81" t="s">
        <v>546</v>
      </c>
      <c r="E139" s="81" t="s">
        <v>155</v>
      </c>
      <c r="F139" s="293">
        <f t="shared" si="3"/>
        <v>0</v>
      </c>
      <c r="G139" s="149">
        <f>G140</f>
        <v>0</v>
      </c>
      <c r="H139" s="299"/>
    </row>
    <row r="140" spans="1:8" s="392" customFormat="1" ht="48.75" customHeight="1" hidden="1">
      <c r="A140" s="136" t="s">
        <v>188</v>
      </c>
      <c r="B140" s="81" t="s">
        <v>146</v>
      </c>
      <c r="C140" s="81" t="s">
        <v>166</v>
      </c>
      <c r="D140" s="81" t="s">
        <v>546</v>
      </c>
      <c r="E140" s="81" t="s">
        <v>189</v>
      </c>
      <c r="F140" s="293">
        <f t="shared" si="3"/>
        <v>0</v>
      </c>
      <c r="G140" s="149"/>
      <c r="H140" s="293"/>
    </row>
    <row r="141" spans="1:8" s="392" customFormat="1" ht="21" customHeight="1" hidden="1">
      <c r="A141" s="62" t="s">
        <v>192</v>
      </c>
      <c r="B141" s="81" t="s">
        <v>146</v>
      </c>
      <c r="C141" s="81" t="s">
        <v>166</v>
      </c>
      <c r="D141" s="81" t="s">
        <v>546</v>
      </c>
      <c r="E141" s="81" t="s">
        <v>193</v>
      </c>
      <c r="F141" s="293">
        <f t="shared" si="3"/>
        <v>0</v>
      </c>
      <c r="G141" s="149">
        <f>G142</f>
        <v>0</v>
      </c>
      <c r="H141" s="293"/>
    </row>
    <row r="142" spans="1:8" s="392" customFormat="1" ht="15.75" customHeight="1" hidden="1">
      <c r="A142" s="140" t="s">
        <v>190</v>
      </c>
      <c r="B142" s="18" t="s">
        <v>146</v>
      </c>
      <c r="C142" s="18" t="s">
        <v>166</v>
      </c>
      <c r="D142" s="18" t="s">
        <v>546</v>
      </c>
      <c r="E142" s="18" t="s">
        <v>191</v>
      </c>
      <c r="F142" s="149">
        <f t="shared" si="3"/>
        <v>0</v>
      </c>
      <c r="G142" s="149"/>
      <c r="H142" s="149"/>
    </row>
    <row r="143" spans="1:10" s="445" customFormat="1" ht="81" customHeight="1">
      <c r="A143" s="142" t="s">
        <v>560</v>
      </c>
      <c r="B143" s="135" t="s">
        <v>146</v>
      </c>
      <c r="C143" s="135" t="s">
        <v>166</v>
      </c>
      <c r="D143" s="135" t="s">
        <v>320</v>
      </c>
      <c r="E143" s="135" t="s">
        <v>409</v>
      </c>
      <c r="F143" s="289">
        <f>G143+H143</f>
        <v>879.9198700000001</v>
      </c>
      <c r="G143" s="289">
        <v>0</v>
      </c>
      <c r="H143" s="289">
        <f>H144</f>
        <v>879.9198700000001</v>
      </c>
      <c r="I143" s="511"/>
      <c r="J143" s="512"/>
    </row>
    <row r="144" spans="1:9" s="392" customFormat="1" ht="38.25" customHeight="1">
      <c r="A144" s="54" t="s">
        <v>505</v>
      </c>
      <c r="B144" s="18" t="s">
        <v>146</v>
      </c>
      <c r="C144" s="18" t="s">
        <v>166</v>
      </c>
      <c r="D144" s="18" t="s">
        <v>10</v>
      </c>
      <c r="E144" s="18" t="s">
        <v>409</v>
      </c>
      <c r="F144" s="149">
        <f aca="true" t="shared" si="4" ref="F144:F152">G144+H144</f>
        <v>879.9198700000001</v>
      </c>
      <c r="G144" s="149"/>
      <c r="H144" s="149">
        <f>H145</f>
        <v>879.9198700000001</v>
      </c>
      <c r="I144" s="406"/>
    </row>
    <row r="145" spans="1:11" s="392" customFormat="1" ht="45.75" customHeight="1">
      <c r="A145" s="54" t="s">
        <v>150</v>
      </c>
      <c r="B145" s="18" t="s">
        <v>146</v>
      </c>
      <c r="C145" s="18" t="s">
        <v>166</v>
      </c>
      <c r="D145" s="18" t="s">
        <v>11</v>
      </c>
      <c r="E145" s="18" t="s">
        <v>409</v>
      </c>
      <c r="F145" s="149">
        <f t="shared" si="4"/>
        <v>879.9198700000001</v>
      </c>
      <c r="G145" s="149"/>
      <c r="H145" s="149">
        <f>H146+H148</f>
        <v>879.9198700000001</v>
      </c>
      <c r="I145" s="446"/>
      <c r="J145" s="446"/>
      <c r="K145" s="434"/>
    </row>
    <row r="146" spans="1:9" s="392" customFormat="1" ht="91.5" customHeight="1">
      <c r="A146" s="54" t="s">
        <v>184</v>
      </c>
      <c r="B146" s="18" t="s">
        <v>146</v>
      </c>
      <c r="C146" s="18" t="s">
        <v>166</v>
      </c>
      <c r="D146" s="18" t="s">
        <v>561</v>
      </c>
      <c r="E146" s="18" t="s">
        <v>151</v>
      </c>
      <c r="F146" s="149">
        <f t="shared" si="4"/>
        <v>843.033</v>
      </c>
      <c r="G146" s="149">
        <v>0</v>
      </c>
      <c r="H146" s="149">
        <f>H147</f>
        <v>843.033</v>
      </c>
      <c r="I146" s="406"/>
    </row>
    <row r="147" spans="1:8" s="392" customFormat="1" ht="32.25" customHeight="1">
      <c r="A147" s="54" t="s">
        <v>186</v>
      </c>
      <c r="B147" s="18" t="s">
        <v>146</v>
      </c>
      <c r="C147" s="18" t="s">
        <v>166</v>
      </c>
      <c r="D147" s="18" t="s">
        <v>561</v>
      </c>
      <c r="E147" s="18" t="s">
        <v>185</v>
      </c>
      <c r="F147" s="149">
        <f t="shared" si="4"/>
        <v>843.033</v>
      </c>
      <c r="G147" s="149"/>
      <c r="H147" s="149">
        <v>843.033</v>
      </c>
    </row>
    <row r="148" spans="1:8" s="392" customFormat="1" ht="37.5" customHeight="1">
      <c r="A148" s="54" t="s">
        <v>187</v>
      </c>
      <c r="B148" s="18" t="s">
        <v>146</v>
      </c>
      <c r="C148" s="18" t="s">
        <v>166</v>
      </c>
      <c r="D148" s="18" t="s">
        <v>561</v>
      </c>
      <c r="E148" s="18" t="s">
        <v>155</v>
      </c>
      <c r="F148" s="149">
        <f t="shared" si="4"/>
        <v>36.88687</v>
      </c>
      <c r="G148" s="149">
        <v>0</v>
      </c>
      <c r="H148" s="149">
        <f>H149</f>
        <v>36.88687</v>
      </c>
    </row>
    <row r="149" spans="1:10" s="392" customFormat="1" ht="49.5" customHeight="1">
      <c r="A149" s="109" t="s">
        <v>188</v>
      </c>
      <c r="B149" s="18" t="s">
        <v>146</v>
      </c>
      <c r="C149" s="18" t="s">
        <v>166</v>
      </c>
      <c r="D149" s="18" t="s">
        <v>561</v>
      </c>
      <c r="E149" s="18" t="s">
        <v>189</v>
      </c>
      <c r="F149" s="149">
        <f t="shared" si="4"/>
        <v>36.88687</v>
      </c>
      <c r="G149" s="149"/>
      <c r="H149" s="149">
        <v>36.88687</v>
      </c>
      <c r="J149" s="446"/>
    </row>
    <row r="150" spans="1:10" s="392" customFormat="1" ht="45.75" customHeight="1">
      <c r="A150" s="87" t="s">
        <v>755</v>
      </c>
      <c r="B150" s="55" t="s">
        <v>146</v>
      </c>
      <c r="C150" s="55" t="s">
        <v>166</v>
      </c>
      <c r="D150" s="55" t="s">
        <v>756</v>
      </c>
      <c r="E150" s="55" t="s">
        <v>409</v>
      </c>
      <c r="F150" s="152">
        <f t="shared" si="4"/>
        <v>84.729</v>
      </c>
      <c r="G150" s="152">
        <f>G151</f>
        <v>84.729</v>
      </c>
      <c r="H150" s="152"/>
      <c r="J150" s="446"/>
    </row>
    <row r="151" spans="1:10" s="392" customFormat="1" ht="35.25" customHeight="1">
      <c r="A151" s="54" t="s">
        <v>187</v>
      </c>
      <c r="B151" s="18" t="s">
        <v>146</v>
      </c>
      <c r="C151" s="18" t="s">
        <v>166</v>
      </c>
      <c r="D151" s="18" t="s">
        <v>756</v>
      </c>
      <c r="E151" s="18" t="s">
        <v>155</v>
      </c>
      <c r="F151" s="149">
        <f t="shared" si="4"/>
        <v>84.729</v>
      </c>
      <c r="G151" s="149">
        <f>G152</f>
        <v>84.729</v>
      </c>
      <c r="H151" s="149"/>
      <c r="J151" s="446"/>
    </row>
    <row r="152" spans="1:10" s="392" customFormat="1" ht="45" customHeight="1">
      <c r="A152" s="109" t="s">
        <v>188</v>
      </c>
      <c r="B152" s="18" t="s">
        <v>146</v>
      </c>
      <c r="C152" s="18" t="s">
        <v>166</v>
      </c>
      <c r="D152" s="18" t="s">
        <v>756</v>
      </c>
      <c r="E152" s="18" t="s">
        <v>189</v>
      </c>
      <c r="F152" s="149">
        <f t="shared" si="4"/>
        <v>84.729</v>
      </c>
      <c r="G152" s="149">
        <f>11.45+24.964+25.292+6.497+16.526</f>
        <v>84.729</v>
      </c>
      <c r="H152" s="149"/>
      <c r="J152" s="446"/>
    </row>
    <row r="153" spans="1:8" s="405" customFormat="1" ht="50.25" customHeight="1">
      <c r="A153" s="59" t="s">
        <v>473</v>
      </c>
      <c r="B153" s="55" t="s">
        <v>146</v>
      </c>
      <c r="C153" s="55" t="s">
        <v>166</v>
      </c>
      <c r="D153" s="55" t="s">
        <v>29</v>
      </c>
      <c r="E153" s="55" t="s">
        <v>409</v>
      </c>
      <c r="F153" s="152">
        <f t="shared" si="2"/>
        <v>83</v>
      </c>
      <c r="G153" s="152">
        <f>G154+G157+G165+G168</f>
        <v>83</v>
      </c>
      <c r="H153" s="152">
        <f>H157+H168</f>
        <v>0</v>
      </c>
    </row>
    <row r="154" spans="1:8" s="447" customFormat="1" ht="35.25" customHeight="1" hidden="1">
      <c r="A154" s="60" t="s">
        <v>31</v>
      </c>
      <c r="B154" s="18" t="s">
        <v>146</v>
      </c>
      <c r="C154" s="18" t="s">
        <v>166</v>
      </c>
      <c r="D154" s="4" t="s">
        <v>30</v>
      </c>
      <c r="E154" s="18" t="s">
        <v>409</v>
      </c>
      <c r="F154" s="149">
        <f t="shared" si="2"/>
        <v>0</v>
      </c>
      <c r="G154" s="149">
        <f>G155</f>
        <v>0</v>
      </c>
      <c r="H154" s="298"/>
    </row>
    <row r="155" spans="1:8" s="392" customFormat="1" ht="39" customHeight="1" hidden="1">
      <c r="A155" s="54" t="s">
        <v>187</v>
      </c>
      <c r="B155" s="18" t="s">
        <v>146</v>
      </c>
      <c r="C155" s="18" t="s">
        <v>166</v>
      </c>
      <c r="D155" s="4" t="s">
        <v>32</v>
      </c>
      <c r="E155" s="18" t="s">
        <v>155</v>
      </c>
      <c r="F155" s="149">
        <f t="shared" si="2"/>
        <v>0</v>
      </c>
      <c r="G155" s="149">
        <f>G156</f>
        <v>0</v>
      </c>
      <c r="H155" s="149"/>
    </row>
    <row r="156" spans="1:8" s="392" customFormat="1" ht="47.25" customHeight="1" hidden="1">
      <c r="A156" s="109" t="s">
        <v>188</v>
      </c>
      <c r="B156" s="18" t="s">
        <v>146</v>
      </c>
      <c r="C156" s="18" t="s">
        <v>166</v>
      </c>
      <c r="D156" s="4" t="s">
        <v>33</v>
      </c>
      <c r="E156" s="18" t="s">
        <v>189</v>
      </c>
      <c r="F156" s="149">
        <f t="shared" si="2"/>
        <v>0</v>
      </c>
      <c r="G156" s="149"/>
      <c r="H156" s="149"/>
    </row>
    <row r="157" spans="1:8" s="392" customFormat="1" ht="36" customHeight="1" hidden="1">
      <c r="A157" s="338" t="s">
        <v>295</v>
      </c>
      <c r="B157" s="18" t="s">
        <v>146</v>
      </c>
      <c r="C157" s="18" t="s">
        <v>166</v>
      </c>
      <c r="D157" s="4" t="s">
        <v>47</v>
      </c>
      <c r="E157" s="18" t="s">
        <v>409</v>
      </c>
      <c r="F157" s="149">
        <f>F158</f>
        <v>0</v>
      </c>
      <c r="G157" s="149">
        <f>G158</f>
        <v>0</v>
      </c>
      <c r="H157" s="149">
        <f>H158</f>
        <v>0</v>
      </c>
    </row>
    <row r="158" spans="1:8" s="392" customFormat="1" ht="63.75" customHeight="1" hidden="1">
      <c r="A158" s="59" t="s">
        <v>681</v>
      </c>
      <c r="B158" s="55" t="s">
        <v>146</v>
      </c>
      <c r="C158" s="55" t="s">
        <v>166</v>
      </c>
      <c r="D158" s="55" t="s">
        <v>320</v>
      </c>
      <c r="E158" s="55" t="s">
        <v>409</v>
      </c>
      <c r="F158" s="152">
        <f>G158+H158</f>
        <v>0</v>
      </c>
      <c r="G158" s="152">
        <f>G162</f>
        <v>0</v>
      </c>
      <c r="H158" s="152">
        <f>H159</f>
        <v>0</v>
      </c>
    </row>
    <row r="159" spans="1:8" s="392" customFormat="1" ht="94.5" customHeight="1" hidden="1">
      <c r="A159" s="54" t="s">
        <v>698</v>
      </c>
      <c r="B159" s="18" t="s">
        <v>146</v>
      </c>
      <c r="C159" s="18" t="s">
        <v>166</v>
      </c>
      <c r="D159" s="18" t="s">
        <v>687</v>
      </c>
      <c r="E159" s="18" t="s">
        <v>409</v>
      </c>
      <c r="F159" s="149">
        <f aca="true" t="shared" si="5" ref="F159:F164">G159+H159</f>
        <v>0</v>
      </c>
      <c r="G159" s="149"/>
      <c r="H159" s="149">
        <f>H160</f>
        <v>0</v>
      </c>
    </row>
    <row r="160" spans="1:8" s="392" customFormat="1" ht="49.5" customHeight="1" hidden="1">
      <c r="A160" s="109" t="s">
        <v>599</v>
      </c>
      <c r="B160" s="18" t="s">
        <v>146</v>
      </c>
      <c r="C160" s="18" t="s">
        <v>166</v>
      </c>
      <c r="D160" s="18" t="s">
        <v>687</v>
      </c>
      <c r="E160" s="18" t="s">
        <v>600</v>
      </c>
      <c r="F160" s="149">
        <f t="shared" si="5"/>
        <v>0</v>
      </c>
      <c r="G160" s="149"/>
      <c r="H160" s="149">
        <f>H161</f>
        <v>0</v>
      </c>
    </row>
    <row r="161" spans="1:8" s="392" customFormat="1" ht="16.5" customHeight="1" hidden="1">
      <c r="A161" s="109" t="s">
        <v>601</v>
      </c>
      <c r="B161" s="18" t="s">
        <v>146</v>
      </c>
      <c r="C161" s="18" t="s">
        <v>166</v>
      </c>
      <c r="D161" s="18" t="s">
        <v>687</v>
      </c>
      <c r="E161" s="18" t="s">
        <v>602</v>
      </c>
      <c r="F161" s="149">
        <f t="shared" si="5"/>
        <v>0</v>
      </c>
      <c r="G161" s="149"/>
      <c r="H161" s="149">
        <v>0</v>
      </c>
    </row>
    <row r="162" spans="1:8" s="392" customFormat="1" ht="96" customHeight="1" hidden="1">
      <c r="A162" s="54" t="s">
        <v>699</v>
      </c>
      <c r="B162" s="18" t="s">
        <v>146</v>
      </c>
      <c r="C162" s="18" t="s">
        <v>166</v>
      </c>
      <c r="D162" s="18" t="s">
        <v>741</v>
      </c>
      <c r="E162" s="18" t="s">
        <v>409</v>
      </c>
      <c r="F162" s="149">
        <f t="shared" si="5"/>
        <v>0</v>
      </c>
      <c r="G162" s="149">
        <f>G163</f>
        <v>0</v>
      </c>
      <c r="H162" s="149"/>
    </row>
    <row r="163" spans="1:8" s="392" customFormat="1" ht="50.25" customHeight="1" hidden="1">
      <c r="A163" s="109" t="s">
        <v>599</v>
      </c>
      <c r="B163" s="18" t="s">
        <v>146</v>
      </c>
      <c r="C163" s="18" t="s">
        <v>166</v>
      </c>
      <c r="D163" s="18" t="s">
        <v>741</v>
      </c>
      <c r="E163" s="18" t="s">
        <v>600</v>
      </c>
      <c r="F163" s="149">
        <f t="shared" si="5"/>
        <v>0</v>
      </c>
      <c r="G163" s="149">
        <f>G164</f>
        <v>0</v>
      </c>
      <c r="H163" s="149"/>
    </row>
    <row r="164" spans="1:8" s="392" customFormat="1" ht="18" customHeight="1" hidden="1">
      <c r="A164" s="109" t="s">
        <v>601</v>
      </c>
      <c r="B164" s="18" t="s">
        <v>146</v>
      </c>
      <c r="C164" s="18" t="s">
        <v>166</v>
      </c>
      <c r="D164" s="18" t="s">
        <v>741</v>
      </c>
      <c r="E164" s="18" t="s">
        <v>602</v>
      </c>
      <c r="F164" s="149">
        <f t="shared" si="5"/>
        <v>0</v>
      </c>
      <c r="G164" s="149">
        <f>325-255-70</f>
        <v>0</v>
      </c>
      <c r="H164" s="149"/>
    </row>
    <row r="165" spans="1:8" s="392" customFormat="1" ht="92.25" customHeight="1" hidden="1">
      <c r="A165" s="59" t="s">
        <v>697</v>
      </c>
      <c r="B165" s="55" t="s">
        <v>146</v>
      </c>
      <c r="C165" s="55" t="s">
        <v>166</v>
      </c>
      <c r="D165" s="55" t="s">
        <v>688</v>
      </c>
      <c r="E165" s="55" t="s">
        <v>409</v>
      </c>
      <c r="F165" s="152">
        <f>G165+H165</f>
        <v>0</v>
      </c>
      <c r="G165" s="152">
        <f>G166</f>
        <v>0</v>
      </c>
      <c r="H165" s="152"/>
    </row>
    <row r="166" spans="1:8" s="392" customFormat="1" ht="36" customHeight="1" hidden="1">
      <c r="A166" s="54" t="s">
        <v>187</v>
      </c>
      <c r="B166" s="18" t="s">
        <v>146</v>
      </c>
      <c r="C166" s="18" t="s">
        <v>166</v>
      </c>
      <c r="D166" s="18" t="s">
        <v>688</v>
      </c>
      <c r="E166" s="18" t="s">
        <v>155</v>
      </c>
      <c r="F166" s="149">
        <f>G166+H166</f>
        <v>0</v>
      </c>
      <c r="G166" s="149">
        <f>G167</f>
        <v>0</v>
      </c>
      <c r="H166" s="149"/>
    </row>
    <row r="167" spans="1:8" s="392" customFormat="1" ht="50.25" customHeight="1" hidden="1">
      <c r="A167" s="109" t="s">
        <v>188</v>
      </c>
      <c r="B167" s="18" t="s">
        <v>146</v>
      </c>
      <c r="C167" s="18" t="s">
        <v>166</v>
      </c>
      <c r="D167" s="18" t="s">
        <v>688</v>
      </c>
      <c r="E167" s="18" t="s">
        <v>189</v>
      </c>
      <c r="F167" s="149">
        <f>G167+H167</f>
        <v>0</v>
      </c>
      <c r="G167" s="149">
        <v>0</v>
      </c>
      <c r="H167" s="149"/>
    </row>
    <row r="168" spans="1:8" s="392" customFormat="1" ht="36" customHeight="1">
      <c r="A168" s="60" t="s">
        <v>34</v>
      </c>
      <c r="B168" s="18" t="s">
        <v>146</v>
      </c>
      <c r="C168" s="18" t="s">
        <v>166</v>
      </c>
      <c r="D168" s="18" t="s">
        <v>35</v>
      </c>
      <c r="E168" s="18" t="s">
        <v>409</v>
      </c>
      <c r="F168" s="149">
        <f t="shared" si="2"/>
        <v>83</v>
      </c>
      <c r="G168" s="149">
        <f>G169</f>
        <v>83</v>
      </c>
      <c r="H168" s="149">
        <f>H170</f>
        <v>0</v>
      </c>
    </row>
    <row r="169" spans="1:8" s="400" customFormat="1" ht="34.5" customHeight="1">
      <c r="A169" s="54" t="s">
        <v>187</v>
      </c>
      <c r="B169" s="18" t="s">
        <v>146</v>
      </c>
      <c r="C169" s="18" t="s">
        <v>166</v>
      </c>
      <c r="D169" s="18" t="s">
        <v>690</v>
      </c>
      <c r="E169" s="18" t="s">
        <v>155</v>
      </c>
      <c r="F169" s="149">
        <f t="shared" si="2"/>
        <v>83</v>
      </c>
      <c r="G169" s="149">
        <f>G170</f>
        <v>83</v>
      </c>
      <c r="H169" s="149"/>
    </row>
    <row r="170" spans="1:8" s="400" customFormat="1" ht="48" customHeight="1">
      <c r="A170" s="109" t="s">
        <v>188</v>
      </c>
      <c r="B170" s="18" t="s">
        <v>146</v>
      </c>
      <c r="C170" s="18" t="s">
        <v>166</v>
      </c>
      <c r="D170" s="18" t="s">
        <v>690</v>
      </c>
      <c r="E170" s="18" t="s">
        <v>189</v>
      </c>
      <c r="F170" s="149">
        <f t="shared" si="2"/>
        <v>83</v>
      </c>
      <c r="G170" s="149">
        <v>83</v>
      </c>
      <c r="H170" s="149"/>
    </row>
    <row r="171" spans="1:8" s="405" customFormat="1" ht="63" customHeight="1">
      <c r="A171" s="59" t="s">
        <v>488</v>
      </c>
      <c r="B171" s="55" t="s">
        <v>146</v>
      </c>
      <c r="C171" s="55" t="s">
        <v>166</v>
      </c>
      <c r="D171" s="55" t="s">
        <v>36</v>
      </c>
      <c r="E171" s="55" t="s">
        <v>409</v>
      </c>
      <c r="F171" s="152">
        <f aca="true" t="shared" si="6" ref="F171:F350">G171+H171</f>
        <v>10</v>
      </c>
      <c r="G171" s="152">
        <f>G172</f>
        <v>10</v>
      </c>
      <c r="H171" s="152">
        <f>H173</f>
        <v>0</v>
      </c>
    </row>
    <row r="172" spans="1:8" s="400" customFormat="1" ht="35.25" customHeight="1">
      <c r="A172" s="54" t="s">
        <v>187</v>
      </c>
      <c r="B172" s="18" t="s">
        <v>146</v>
      </c>
      <c r="C172" s="18" t="s">
        <v>166</v>
      </c>
      <c r="D172" s="18" t="s">
        <v>37</v>
      </c>
      <c r="E172" s="18" t="s">
        <v>155</v>
      </c>
      <c r="F172" s="149">
        <f t="shared" si="6"/>
        <v>10</v>
      </c>
      <c r="G172" s="149">
        <f>G173</f>
        <v>10</v>
      </c>
      <c r="H172" s="149"/>
    </row>
    <row r="173" spans="1:8" s="400" customFormat="1" ht="50.25" customHeight="1">
      <c r="A173" s="109" t="s">
        <v>188</v>
      </c>
      <c r="B173" s="18" t="s">
        <v>146</v>
      </c>
      <c r="C173" s="18" t="s">
        <v>166</v>
      </c>
      <c r="D173" s="18" t="s">
        <v>38</v>
      </c>
      <c r="E173" s="18" t="s">
        <v>189</v>
      </c>
      <c r="F173" s="149">
        <f t="shared" si="6"/>
        <v>10</v>
      </c>
      <c r="G173" s="149">
        <v>10</v>
      </c>
      <c r="H173" s="149"/>
    </row>
    <row r="174" spans="1:8" s="407" customFormat="1" ht="48.75" customHeight="1" hidden="1">
      <c r="A174" s="87" t="s">
        <v>435</v>
      </c>
      <c r="B174" s="55" t="s">
        <v>146</v>
      </c>
      <c r="C174" s="55" t="s">
        <v>166</v>
      </c>
      <c r="D174" s="55" t="s">
        <v>39</v>
      </c>
      <c r="E174" s="55" t="s">
        <v>409</v>
      </c>
      <c r="F174" s="152">
        <f>G174+H174</f>
        <v>0</v>
      </c>
      <c r="G174" s="152">
        <f>G175</f>
        <v>0</v>
      </c>
      <c r="H174" s="285">
        <f>H175</f>
        <v>0</v>
      </c>
    </row>
    <row r="175" spans="1:8" s="408" customFormat="1" ht="34.5" customHeight="1" hidden="1">
      <c r="A175" s="109" t="s">
        <v>187</v>
      </c>
      <c r="B175" s="18" t="s">
        <v>146</v>
      </c>
      <c r="C175" s="18" t="s">
        <v>166</v>
      </c>
      <c r="D175" s="18" t="s">
        <v>499</v>
      </c>
      <c r="E175" s="18" t="s">
        <v>155</v>
      </c>
      <c r="F175" s="149">
        <f>G175+H175</f>
        <v>0</v>
      </c>
      <c r="G175" s="149">
        <f>G176</f>
        <v>0</v>
      </c>
      <c r="H175" s="161">
        <f>H176</f>
        <v>0</v>
      </c>
    </row>
    <row r="176" spans="1:8" s="408" customFormat="1" ht="49.5" customHeight="1" hidden="1">
      <c r="A176" s="109" t="s">
        <v>188</v>
      </c>
      <c r="B176" s="18" t="s">
        <v>146</v>
      </c>
      <c r="C176" s="18" t="s">
        <v>166</v>
      </c>
      <c r="D176" s="18" t="s">
        <v>499</v>
      </c>
      <c r="E176" s="18" t="s">
        <v>189</v>
      </c>
      <c r="F176" s="149">
        <f>G176+H176</f>
        <v>0</v>
      </c>
      <c r="G176" s="149"/>
      <c r="H176" s="161"/>
    </row>
    <row r="177" spans="1:8" s="408" customFormat="1" ht="65.25" customHeight="1">
      <c r="A177" s="87" t="s">
        <v>847</v>
      </c>
      <c r="B177" s="55" t="s">
        <v>146</v>
      </c>
      <c r="C177" s="55" t="s">
        <v>166</v>
      </c>
      <c r="D177" s="55" t="s">
        <v>562</v>
      </c>
      <c r="E177" s="55" t="s">
        <v>409</v>
      </c>
      <c r="F177" s="152">
        <f t="shared" si="6"/>
        <v>15</v>
      </c>
      <c r="G177" s="152">
        <f>G178</f>
        <v>15</v>
      </c>
      <c r="H177" s="289"/>
    </row>
    <row r="178" spans="1:8" s="408" customFormat="1" ht="49.5" customHeight="1">
      <c r="A178" s="136" t="s">
        <v>563</v>
      </c>
      <c r="B178" s="18" t="s">
        <v>146</v>
      </c>
      <c r="C178" s="18" t="s">
        <v>166</v>
      </c>
      <c r="D178" s="81" t="s">
        <v>564</v>
      </c>
      <c r="E178" s="18" t="s">
        <v>155</v>
      </c>
      <c r="F178" s="149">
        <f t="shared" si="6"/>
        <v>15</v>
      </c>
      <c r="G178" s="293">
        <f>G179</f>
        <v>15</v>
      </c>
      <c r="H178" s="293"/>
    </row>
    <row r="179" spans="1:8" s="408" customFormat="1" ht="18.75" customHeight="1">
      <c r="A179" s="136" t="s">
        <v>565</v>
      </c>
      <c r="B179" s="18" t="s">
        <v>146</v>
      </c>
      <c r="C179" s="18" t="s">
        <v>166</v>
      </c>
      <c r="D179" s="81" t="s">
        <v>566</v>
      </c>
      <c r="E179" s="18" t="s">
        <v>189</v>
      </c>
      <c r="F179" s="149">
        <f t="shared" si="6"/>
        <v>15</v>
      </c>
      <c r="G179" s="293">
        <v>15</v>
      </c>
      <c r="H179" s="293"/>
    </row>
    <row r="180" spans="1:8" s="409" customFormat="1" ht="20.25" customHeight="1" hidden="1">
      <c r="A180" s="150" t="s">
        <v>372</v>
      </c>
      <c r="B180" s="522" t="s">
        <v>148</v>
      </c>
      <c r="C180" s="522" t="s">
        <v>147</v>
      </c>
      <c r="D180" s="24" t="s">
        <v>320</v>
      </c>
      <c r="E180" s="24" t="s">
        <v>409</v>
      </c>
      <c r="F180" s="291">
        <f>G180+H180</f>
        <v>0</v>
      </c>
      <c r="G180" s="286">
        <f>G181</f>
        <v>0</v>
      </c>
      <c r="H180" s="286">
        <f>H181</f>
        <v>0</v>
      </c>
    </row>
    <row r="181" spans="1:8" s="400" customFormat="1" ht="17.25" customHeight="1" hidden="1">
      <c r="A181" s="62" t="s">
        <v>365</v>
      </c>
      <c r="B181" s="18" t="s">
        <v>148</v>
      </c>
      <c r="C181" s="18" t="s">
        <v>147</v>
      </c>
      <c r="D181" s="17" t="s">
        <v>320</v>
      </c>
      <c r="E181" s="17" t="s">
        <v>409</v>
      </c>
      <c r="F181" s="149">
        <f t="shared" si="6"/>
        <v>0</v>
      </c>
      <c r="G181" s="149">
        <f>G183</f>
        <v>0</v>
      </c>
      <c r="H181" s="149">
        <f>H182</f>
        <v>0</v>
      </c>
    </row>
    <row r="182" spans="1:8" s="400" customFormat="1" ht="79.5" customHeight="1" hidden="1">
      <c r="A182" s="103" t="s">
        <v>548</v>
      </c>
      <c r="B182" s="18" t="s">
        <v>148</v>
      </c>
      <c r="C182" s="18" t="s">
        <v>147</v>
      </c>
      <c r="D182" s="122" t="s">
        <v>530</v>
      </c>
      <c r="E182" s="122" t="s">
        <v>409</v>
      </c>
      <c r="F182" s="299">
        <f t="shared" si="6"/>
        <v>0</v>
      </c>
      <c r="G182" s="299">
        <f>G184</f>
        <v>0</v>
      </c>
      <c r="H182" s="299">
        <f>H183</f>
        <v>0</v>
      </c>
    </row>
    <row r="183" spans="1:8" s="400" customFormat="1" ht="48.75" customHeight="1" hidden="1">
      <c r="A183" s="62" t="s">
        <v>373</v>
      </c>
      <c r="B183" s="18" t="s">
        <v>148</v>
      </c>
      <c r="C183" s="18" t="s">
        <v>147</v>
      </c>
      <c r="D183" s="17" t="s">
        <v>526</v>
      </c>
      <c r="E183" s="17" t="s">
        <v>409</v>
      </c>
      <c r="F183" s="149">
        <f t="shared" si="6"/>
        <v>0</v>
      </c>
      <c r="G183" s="149">
        <f>G185</f>
        <v>0</v>
      </c>
      <c r="H183" s="149">
        <f>H184</f>
        <v>0</v>
      </c>
    </row>
    <row r="184" spans="1:8" s="400" customFormat="1" ht="21" customHeight="1" hidden="1">
      <c r="A184" s="62" t="s">
        <v>198</v>
      </c>
      <c r="B184" s="18" t="s">
        <v>148</v>
      </c>
      <c r="C184" s="18" t="s">
        <v>147</v>
      </c>
      <c r="D184" s="17" t="s">
        <v>526</v>
      </c>
      <c r="E184" s="17" t="s">
        <v>199</v>
      </c>
      <c r="F184" s="149">
        <f t="shared" si="6"/>
        <v>0</v>
      </c>
      <c r="G184" s="149">
        <f>G185</f>
        <v>0</v>
      </c>
      <c r="H184" s="149">
        <f>H185</f>
        <v>0</v>
      </c>
    </row>
    <row r="185" spans="1:8" s="400" customFormat="1" ht="17.25" customHeight="1" hidden="1">
      <c r="A185" s="54" t="s">
        <v>167</v>
      </c>
      <c r="B185" s="18" t="s">
        <v>148</v>
      </c>
      <c r="C185" s="18" t="s">
        <v>147</v>
      </c>
      <c r="D185" s="18" t="s">
        <v>526</v>
      </c>
      <c r="E185" s="18" t="s">
        <v>374</v>
      </c>
      <c r="F185" s="149">
        <f t="shared" si="6"/>
        <v>0</v>
      </c>
      <c r="G185" s="149">
        <v>0</v>
      </c>
      <c r="H185" s="287">
        <v>0</v>
      </c>
    </row>
    <row r="186" spans="1:8" s="409" customFormat="1" ht="48" customHeight="1">
      <c r="A186" s="150" t="s">
        <v>375</v>
      </c>
      <c r="B186" s="522" t="s">
        <v>153</v>
      </c>
      <c r="C186" s="522" t="s">
        <v>147</v>
      </c>
      <c r="D186" s="24" t="s">
        <v>320</v>
      </c>
      <c r="E186" s="24" t="s">
        <v>409</v>
      </c>
      <c r="F186" s="291">
        <f>G186+H186</f>
        <v>100</v>
      </c>
      <c r="G186" s="286">
        <f>G187</f>
        <v>100</v>
      </c>
      <c r="H186" s="286">
        <f>H187</f>
        <v>0</v>
      </c>
    </row>
    <row r="187" spans="1:8" s="400" customFormat="1" ht="50.25" customHeight="1">
      <c r="A187" s="62" t="s">
        <v>376</v>
      </c>
      <c r="B187" s="18" t="s">
        <v>153</v>
      </c>
      <c r="C187" s="18" t="s">
        <v>377</v>
      </c>
      <c r="D187" s="18" t="s">
        <v>20</v>
      </c>
      <c r="E187" s="17" t="s">
        <v>409</v>
      </c>
      <c r="F187" s="149">
        <f t="shared" si="6"/>
        <v>100</v>
      </c>
      <c r="G187" s="149">
        <f>G188</f>
        <v>100</v>
      </c>
      <c r="H187" s="149">
        <f>H188</f>
        <v>0</v>
      </c>
    </row>
    <row r="188" spans="1:8" s="400" customFormat="1" ht="50.25" customHeight="1">
      <c r="A188" s="62" t="s">
        <v>378</v>
      </c>
      <c r="B188" s="18" t="s">
        <v>153</v>
      </c>
      <c r="C188" s="18" t="s">
        <v>377</v>
      </c>
      <c r="D188" s="18" t="s">
        <v>20</v>
      </c>
      <c r="E188" s="17" t="s">
        <v>409</v>
      </c>
      <c r="F188" s="149">
        <f t="shared" si="6"/>
        <v>100</v>
      </c>
      <c r="G188" s="149">
        <f>G190</f>
        <v>100</v>
      </c>
      <c r="H188" s="149">
        <f>H190</f>
        <v>0</v>
      </c>
    </row>
    <row r="189" spans="1:8" s="400" customFormat="1" ht="33.75" customHeight="1">
      <c r="A189" s="54" t="s">
        <v>187</v>
      </c>
      <c r="B189" s="18" t="s">
        <v>153</v>
      </c>
      <c r="C189" s="18" t="s">
        <v>377</v>
      </c>
      <c r="D189" s="18" t="s">
        <v>20</v>
      </c>
      <c r="E189" s="17" t="s">
        <v>155</v>
      </c>
      <c r="F189" s="149">
        <f t="shared" si="6"/>
        <v>100</v>
      </c>
      <c r="G189" s="149">
        <f>G190</f>
        <v>100</v>
      </c>
      <c r="H189" s="149"/>
    </row>
    <row r="190" spans="1:8" s="400" customFormat="1" ht="50.25" customHeight="1">
      <c r="A190" s="109" t="s">
        <v>188</v>
      </c>
      <c r="B190" s="18" t="s">
        <v>153</v>
      </c>
      <c r="C190" s="18" t="s">
        <v>377</v>
      </c>
      <c r="D190" s="18" t="s">
        <v>20</v>
      </c>
      <c r="E190" s="18" t="s">
        <v>189</v>
      </c>
      <c r="F190" s="149">
        <f t="shared" si="6"/>
        <v>100</v>
      </c>
      <c r="G190" s="149">
        <v>100</v>
      </c>
      <c r="H190" s="149"/>
    </row>
    <row r="191" spans="1:8" s="400" customFormat="1" ht="62.25" customHeight="1" hidden="1">
      <c r="A191" s="87" t="s">
        <v>773</v>
      </c>
      <c r="B191" s="55" t="s">
        <v>146</v>
      </c>
      <c r="C191" s="55" t="s">
        <v>166</v>
      </c>
      <c r="D191" s="55" t="s">
        <v>753</v>
      </c>
      <c r="E191" s="55" t="s">
        <v>409</v>
      </c>
      <c r="F191" s="152">
        <f>G191+H191</f>
        <v>0</v>
      </c>
      <c r="G191" s="152"/>
      <c r="H191" s="152">
        <f>H192</f>
        <v>0</v>
      </c>
    </row>
    <row r="192" spans="1:8" s="400" customFormat="1" ht="97.5" customHeight="1" hidden="1">
      <c r="A192" s="54" t="s">
        <v>184</v>
      </c>
      <c r="B192" s="18" t="s">
        <v>146</v>
      </c>
      <c r="C192" s="18" t="s">
        <v>166</v>
      </c>
      <c r="D192" s="18" t="s">
        <v>753</v>
      </c>
      <c r="E192" s="18" t="s">
        <v>151</v>
      </c>
      <c r="F192" s="149">
        <f>G192+H192</f>
        <v>0</v>
      </c>
      <c r="G192" s="149"/>
      <c r="H192" s="149">
        <f>H193</f>
        <v>0</v>
      </c>
    </row>
    <row r="193" spans="1:8" s="400" customFormat="1" ht="37.5" customHeight="1" hidden="1">
      <c r="A193" s="109" t="s">
        <v>186</v>
      </c>
      <c r="B193" s="18" t="s">
        <v>146</v>
      </c>
      <c r="C193" s="18" t="s">
        <v>166</v>
      </c>
      <c r="D193" s="18" t="s">
        <v>753</v>
      </c>
      <c r="E193" s="18" t="s">
        <v>185</v>
      </c>
      <c r="F193" s="149">
        <f>G193+H193</f>
        <v>0</v>
      </c>
      <c r="G193" s="149"/>
      <c r="H193" s="149">
        <v>0</v>
      </c>
    </row>
    <row r="194" spans="1:8" s="400" customFormat="1" ht="79.5" customHeight="1" hidden="1">
      <c r="A194" s="87" t="s">
        <v>770</v>
      </c>
      <c r="B194" s="18" t="s">
        <v>146</v>
      </c>
      <c r="C194" s="18" t="s">
        <v>166</v>
      </c>
      <c r="D194" s="18" t="s">
        <v>754</v>
      </c>
      <c r="E194" s="18" t="s">
        <v>409</v>
      </c>
      <c r="F194" s="149">
        <f>G194</f>
        <v>0</v>
      </c>
      <c r="G194" s="149">
        <f>G195+G197</f>
        <v>0</v>
      </c>
      <c r="H194" s="149"/>
    </row>
    <row r="195" spans="1:8" s="400" customFormat="1" ht="94.5" customHeight="1" hidden="1">
      <c r="A195" s="54" t="s">
        <v>184</v>
      </c>
      <c r="B195" s="18" t="s">
        <v>146</v>
      </c>
      <c r="C195" s="18" t="s">
        <v>166</v>
      </c>
      <c r="D195" s="18" t="s">
        <v>754</v>
      </c>
      <c r="E195" s="18" t="s">
        <v>151</v>
      </c>
      <c r="F195" s="149">
        <f>G195</f>
        <v>0</v>
      </c>
      <c r="G195" s="149">
        <f>G196</f>
        <v>0</v>
      </c>
      <c r="H195" s="149"/>
    </row>
    <row r="196" spans="1:8" s="400" customFormat="1" ht="33" customHeight="1" hidden="1">
      <c r="A196" s="109" t="s">
        <v>186</v>
      </c>
      <c r="B196" s="18" t="s">
        <v>146</v>
      </c>
      <c r="C196" s="18" t="s">
        <v>166</v>
      </c>
      <c r="D196" s="18" t="s">
        <v>754</v>
      </c>
      <c r="E196" s="18" t="s">
        <v>185</v>
      </c>
      <c r="F196" s="149">
        <f>G196</f>
        <v>0</v>
      </c>
      <c r="G196" s="149">
        <v>0</v>
      </c>
      <c r="H196" s="149"/>
    </row>
    <row r="197" spans="1:8" s="400" customFormat="1" ht="37.5" customHeight="1" hidden="1">
      <c r="A197" s="54" t="s">
        <v>187</v>
      </c>
      <c r="B197" s="18" t="s">
        <v>146</v>
      </c>
      <c r="C197" s="18" t="s">
        <v>166</v>
      </c>
      <c r="D197" s="18" t="s">
        <v>754</v>
      </c>
      <c r="E197" s="18" t="s">
        <v>155</v>
      </c>
      <c r="F197" s="149">
        <f>G197</f>
        <v>0</v>
      </c>
      <c r="G197" s="149">
        <f>G198</f>
        <v>0</v>
      </c>
      <c r="H197" s="149"/>
    </row>
    <row r="198" spans="1:8" s="400" customFormat="1" ht="48" customHeight="1" hidden="1">
      <c r="A198" s="109" t="s">
        <v>188</v>
      </c>
      <c r="B198" s="18" t="s">
        <v>146</v>
      </c>
      <c r="C198" s="18" t="s">
        <v>166</v>
      </c>
      <c r="D198" s="18" t="s">
        <v>754</v>
      </c>
      <c r="E198" s="18" t="s">
        <v>189</v>
      </c>
      <c r="F198" s="149">
        <f>G198</f>
        <v>0</v>
      </c>
      <c r="G198" s="149">
        <v>0</v>
      </c>
      <c r="H198" s="149"/>
    </row>
    <row r="199" spans="1:8" s="400" customFormat="1" ht="96" customHeight="1" hidden="1">
      <c r="A199" s="87" t="s">
        <v>771</v>
      </c>
      <c r="B199" s="18" t="s">
        <v>146</v>
      </c>
      <c r="C199" s="18" t="s">
        <v>166</v>
      </c>
      <c r="D199" s="55" t="s">
        <v>772</v>
      </c>
      <c r="E199" s="55" t="s">
        <v>409</v>
      </c>
      <c r="F199" s="152">
        <f aca="true" t="shared" si="7" ref="F199:F206">G199+H199</f>
        <v>0</v>
      </c>
      <c r="G199" s="152"/>
      <c r="H199" s="152">
        <f>H200</f>
        <v>0</v>
      </c>
    </row>
    <row r="200" spans="1:8" s="400" customFormat="1" ht="31.5" customHeight="1" hidden="1">
      <c r="A200" s="54" t="s">
        <v>187</v>
      </c>
      <c r="B200" s="18" t="s">
        <v>146</v>
      </c>
      <c r="C200" s="18" t="s">
        <v>166</v>
      </c>
      <c r="D200" s="18" t="s">
        <v>772</v>
      </c>
      <c r="E200" s="18" t="s">
        <v>155</v>
      </c>
      <c r="F200" s="149">
        <f t="shared" si="7"/>
        <v>0</v>
      </c>
      <c r="G200" s="149"/>
      <c r="H200" s="149">
        <f>H201</f>
        <v>0</v>
      </c>
    </row>
    <row r="201" spans="1:8" s="400" customFormat="1" ht="48" customHeight="1" hidden="1">
      <c r="A201" s="109" t="s">
        <v>188</v>
      </c>
      <c r="B201" s="18" t="s">
        <v>146</v>
      </c>
      <c r="C201" s="18" t="s">
        <v>166</v>
      </c>
      <c r="D201" s="18" t="s">
        <v>772</v>
      </c>
      <c r="E201" s="18" t="s">
        <v>189</v>
      </c>
      <c r="F201" s="149">
        <f t="shared" si="7"/>
        <v>0</v>
      </c>
      <c r="G201" s="149"/>
      <c r="H201" s="149">
        <v>0</v>
      </c>
    </row>
    <row r="202" spans="1:8" s="409" customFormat="1" ht="48" customHeight="1" hidden="1">
      <c r="A202" s="150" t="s">
        <v>375</v>
      </c>
      <c r="B202" s="24" t="s">
        <v>153</v>
      </c>
      <c r="C202" s="24" t="s">
        <v>147</v>
      </c>
      <c r="D202" s="24" t="s">
        <v>320</v>
      </c>
      <c r="E202" s="24" t="s">
        <v>409</v>
      </c>
      <c r="F202" s="291">
        <f t="shared" si="7"/>
        <v>0</v>
      </c>
      <c r="G202" s="286">
        <f>G203</f>
        <v>0</v>
      </c>
      <c r="H202" s="286">
        <f>H203</f>
        <v>0</v>
      </c>
    </row>
    <row r="203" spans="1:8" s="400" customFormat="1" ht="50.25" customHeight="1" hidden="1">
      <c r="A203" s="62" t="s">
        <v>376</v>
      </c>
      <c r="B203" s="17" t="s">
        <v>153</v>
      </c>
      <c r="C203" s="17" t="s">
        <v>377</v>
      </c>
      <c r="D203" s="17" t="s">
        <v>320</v>
      </c>
      <c r="E203" s="17" t="s">
        <v>409</v>
      </c>
      <c r="F203" s="149">
        <f t="shared" si="7"/>
        <v>0</v>
      </c>
      <c r="G203" s="149">
        <f>G204</f>
        <v>0</v>
      </c>
      <c r="H203" s="149">
        <f>H204</f>
        <v>0</v>
      </c>
    </row>
    <row r="204" spans="1:8" s="400" customFormat="1" ht="83.25" customHeight="1" hidden="1">
      <c r="A204" s="448" t="s">
        <v>787</v>
      </c>
      <c r="B204" s="449" t="s">
        <v>153</v>
      </c>
      <c r="C204" s="449" t="s">
        <v>377</v>
      </c>
      <c r="D204" s="449" t="s">
        <v>788</v>
      </c>
      <c r="E204" s="449" t="s">
        <v>409</v>
      </c>
      <c r="F204" s="349">
        <f t="shared" si="7"/>
        <v>0</v>
      </c>
      <c r="G204" s="349">
        <f>G206</f>
        <v>0</v>
      </c>
      <c r="H204" s="349">
        <f>H206</f>
        <v>0</v>
      </c>
    </row>
    <row r="205" spans="1:8" s="400" customFormat="1" ht="33.75" customHeight="1" hidden="1">
      <c r="A205" s="448" t="s">
        <v>187</v>
      </c>
      <c r="B205" s="449" t="s">
        <v>153</v>
      </c>
      <c r="C205" s="449" t="s">
        <v>377</v>
      </c>
      <c r="D205" s="449" t="s">
        <v>788</v>
      </c>
      <c r="E205" s="449" t="s">
        <v>155</v>
      </c>
      <c r="F205" s="349">
        <f t="shared" si="7"/>
        <v>0</v>
      </c>
      <c r="G205" s="349">
        <f>G206</f>
        <v>0</v>
      </c>
      <c r="H205" s="349"/>
    </row>
    <row r="206" spans="1:8" s="400" customFormat="1" ht="50.25" customHeight="1" hidden="1">
      <c r="A206" s="450" t="s">
        <v>188</v>
      </c>
      <c r="B206" s="449" t="s">
        <v>153</v>
      </c>
      <c r="C206" s="449" t="s">
        <v>377</v>
      </c>
      <c r="D206" s="449" t="s">
        <v>788</v>
      </c>
      <c r="E206" s="449" t="s">
        <v>189</v>
      </c>
      <c r="F206" s="349">
        <f t="shared" si="7"/>
        <v>0</v>
      </c>
      <c r="G206" s="349">
        <v>0</v>
      </c>
      <c r="H206" s="349"/>
    </row>
    <row r="207" spans="1:10" s="409" customFormat="1" ht="16.5" customHeight="1">
      <c r="A207" s="150" t="s">
        <v>379</v>
      </c>
      <c r="B207" s="24" t="s">
        <v>157</v>
      </c>
      <c r="C207" s="24" t="s">
        <v>147</v>
      </c>
      <c r="D207" s="24" t="s">
        <v>320</v>
      </c>
      <c r="E207" s="24" t="s">
        <v>409</v>
      </c>
      <c r="F207" s="291">
        <f t="shared" si="6"/>
        <v>29636.240299999998</v>
      </c>
      <c r="G207" s="286">
        <f>G212+G225+G208+G246</f>
        <v>26366.94229</v>
      </c>
      <c r="H207" s="286">
        <f>H212+H225+H208+H251</f>
        <v>3269.29801</v>
      </c>
      <c r="J207" s="410"/>
    </row>
    <row r="208" spans="1:8" s="405" customFormat="1" ht="16.5" customHeight="1">
      <c r="A208" s="59" t="s">
        <v>241</v>
      </c>
      <c r="B208" s="55" t="s">
        <v>157</v>
      </c>
      <c r="C208" s="55" t="s">
        <v>389</v>
      </c>
      <c r="D208" s="55" t="s">
        <v>320</v>
      </c>
      <c r="E208" s="55" t="s">
        <v>409</v>
      </c>
      <c r="F208" s="152">
        <f t="shared" si="6"/>
        <v>265.91093</v>
      </c>
      <c r="G208" s="152">
        <f>G209</f>
        <v>0</v>
      </c>
      <c r="H208" s="152">
        <f>H209</f>
        <v>265.91093</v>
      </c>
    </row>
    <row r="209" spans="1:8" s="392" customFormat="1" ht="107.25" customHeight="1">
      <c r="A209" s="59" t="s">
        <v>717</v>
      </c>
      <c r="B209" s="55" t="s">
        <v>157</v>
      </c>
      <c r="C209" s="55" t="s">
        <v>389</v>
      </c>
      <c r="D209" s="55" t="s">
        <v>40</v>
      </c>
      <c r="E209" s="55" t="s">
        <v>409</v>
      </c>
      <c r="F209" s="152">
        <f t="shared" si="6"/>
        <v>265.91093</v>
      </c>
      <c r="G209" s="152"/>
      <c r="H209" s="152">
        <f>H210</f>
        <v>265.91093</v>
      </c>
    </row>
    <row r="210" spans="1:8" s="392" customFormat="1" ht="35.25" customHeight="1">
      <c r="A210" s="54" t="s">
        <v>187</v>
      </c>
      <c r="B210" s="18" t="s">
        <v>157</v>
      </c>
      <c r="C210" s="18" t="s">
        <v>389</v>
      </c>
      <c r="D210" s="18" t="s">
        <v>40</v>
      </c>
      <c r="E210" s="18" t="s">
        <v>155</v>
      </c>
      <c r="F210" s="149">
        <f t="shared" si="6"/>
        <v>265.91093</v>
      </c>
      <c r="G210" s="149"/>
      <c r="H210" s="149">
        <f>H211</f>
        <v>265.91093</v>
      </c>
    </row>
    <row r="211" spans="1:8" s="392" customFormat="1" ht="48" customHeight="1">
      <c r="A211" s="109" t="s">
        <v>188</v>
      </c>
      <c r="B211" s="18" t="s">
        <v>157</v>
      </c>
      <c r="C211" s="18" t="s">
        <v>389</v>
      </c>
      <c r="D211" s="18" t="s">
        <v>40</v>
      </c>
      <c r="E211" s="18" t="s">
        <v>189</v>
      </c>
      <c r="F211" s="149">
        <f t="shared" si="6"/>
        <v>265.91093</v>
      </c>
      <c r="G211" s="149"/>
      <c r="H211" s="149">
        <v>265.91093</v>
      </c>
    </row>
    <row r="212" spans="1:8" s="405" customFormat="1" ht="17.25" customHeight="1">
      <c r="A212" s="59" t="s">
        <v>416</v>
      </c>
      <c r="B212" s="55" t="s">
        <v>157</v>
      </c>
      <c r="C212" s="55" t="s">
        <v>380</v>
      </c>
      <c r="D212" s="55" t="s">
        <v>320</v>
      </c>
      <c r="E212" s="55" t="s">
        <v>409</v>
      </c>
      <c r="F212" s="152">
        <f t="shared" si="6"/>
        <v>2303.38708</v>
      </c>
      <c r="G212" s="152">
        <f>G213</f>
        <v>2300</v>
      </c>
      <c r="H212" s="152">
        <f>H214+H222</f>
        <v>3.38708</v>
      </c>
    </row>
    <row r="213" spans="1:8" s="405" customFormat="1" ht="96" customHeight="1">
      <c r="A213" s="59" t="s">
        <v>491</v>
      </c>
      <c r="B213" s="55" t="s">
        <v>157</v>
      </c>
      <c r="C213" s="55" t="s">
        <v>380</v>
      </c>
      <c r="D213" s="55" t="s">
        <v>471</v>
      </c>
      <c r="E213" s="55" t="s">
        <v>409</v>
      </c>
      <c r="F213" s="152">
        <f t="shared" si="6"/>
        <v>2300</v>
      </c>
      <c r="G213" s="152">
        <f>G214+G218</f>
        <v>2300</v>
      </c>
      <c r="H213" s="152"/>
    </row>
    <row r="214" spans="1:8" s="400" customFormat="1" ht="18.75" customHeight="1">
      <c r="A214" s="54" t="s">
        <v>417</v>
      </c>
      <c r="B214" s="18" t="s">
        <v>157</v>
      </c>
      <c r="C214" s="18" t="s">
        <v>380</v>
      </c>
      <c r="D214" s="18" t="s">
        <v>492</v>
      </c>
      <c r="E214" s="18" t="s">
        <v>409</v>
      </c>
      <c r="F214" s="149">
        <f t="shared" si="6"/>
        <v>2300</v>
      </c>
      <c r="G214" s="149">
        <f>G215+G220</f>
        <v>2300</v>
      </c>
      <c r="H214" s="149">
        <f>H215</f>
        <v>0</v>
      </c>
    </row>
    <row r="215" spans="1:8" s="400" customFormat="1" ht="68.25" customHeight="1">
      <c r="A215" s="54" t="s">
        <v>41</v>
      </c>
      <c r="B215" s="18" t="s">
        <v>157</v>
      </c>
      <c r="C215" s="18" t="s">
        <v>380</v>
      </c>
      <c r="D215" s="18" t="s">
        <v>492</v>
      </c>
      <c r="E215" s="18" t="s">
        <v>409</v>
      </c>
      <c r="F215" s="149">
        <f t="shared" si="6"/>
        <v>2296.175</v>
      </c>
      <c r="G215" s="149">
        <f>G216</f>
        <v>2296.175</v>
      </c>
      <c r="H215" s="149">
        <f>H217</f>
        <v>0</v>
      </c>
    </row>
    <row r="216" spans="1:8" s="400" customFormat="1" ht="18.75" customHeight="1">
      <c r="A216" s="54" t="s">
        <v>192</v>
      </c>
      <c r="B216" s="18" t="s">
        <v>157</v>
      </c>
      <c r="C216" s="18" t="s">
        <v>380</v>
      </c>
      <c r="D216" s="18" t="s">
        <v>492</v>
      </c>
      <c r="E216" s="18" t="s">
        <v>193</v>
      </c>
      <c r="F216" s="149">
        <f t="shared" si="6"/>
        <v>2296.175</v>
      </c>
      <c r="G216" s="149">
        <f>G217</f>
        <v>2296.175</v>
      </c>
      <c r="H216" s="149"/>
    </row>
    <row r="217" spans="1:8" s="400" customFormat="1" ht="49.5" customHeight="1">
      <c r="A217" s="54" t="s">
        <v>712</v>
      </c>
      <c r="B217" s="18" t="s">
        <v>157</v>
      </c>
      <c r="C217" s="18" t="s">
        <v>380</v>
      </c>
      <c r="D217" s="18" t="s">
        <v>492</v>
      </c>
      <c r="E217" s="18" t="s">
        <v>458</v>
      </c>
      <c r="F217" s="149">
        <f t="shared" si="6"/>
        <v>2296.175</v>
      </c>
      <c r="G217" s="149">
        <f>2300-3.825</f>
        <v>2296.175</v>
      </c>
      <c r="H217" s="149"/>
    </row>
    <row r="218" spans="1:8" s="400" customFormat="1" ht="19.5" customHeight="1" hidden="1">
      <c r="A218" s="109" t="s">
        <v>198</v>
      </c>
      <c r="B218" s="18" t="s">
        <v>157</v>
      </c>
      <c r="C218" s="18" t="s">
        <v>380</v>
      </c>
      <c r="D218" s="18" t="s">
        <v>492</v>
      </c>
      <c r="E218" s="18" t="s">
        <v>199</v>
      </c>
      <c r="F218" s="149">
        <f t="shared" si="6"/>
        <v>0</v>
      </c>
      <c r="G218" s="149">
        <f>G219</f>
        <v>0</v>
      </c>
      <c r="H218" s="149"/>
    </row>
    <row r="219" spans="1:8" s="400" customFormat="1" ht="18" customHeight="1" hidden="1">
      <c r="A219" s="109" t="s">
        <v>302</v>
      </c>
      <c r="B219" s="18" t="s">
        <v>157</v>
      </c>
      <c r="C219" s="18" t="s">
        <v>380</v>
      </c>
      <c r="D219" s="18" t="s">
        <v>492</v>
      </c>
      <c r="E219" s="18" t="s">
        <v>455</v>
      </c>
      <c r="F219" s="149">
        <f t="shared" si="6"/>
        <v>0</v>
      </c>
      <c r="G219" s="149">
        <v>0</v>
      </c>
      <c r="H219" s="149"/>
    </row>
    <row r="220" spans="1:8" s="400" customFormat="1" ht="30.75" customHeight="1">
      <c r="A220" s="54" t="s">
        <v>187</v>
      </c>
      <c r="B220" s="18" t="s">
        <v>157</v>
      </c>
      <c r="C220" s="18" t="s">
        <v>380</v>
      </c>
      <c r="D220" s="18" t="s">
        <v>492</v>
      </c>
      <c r="E220" s="18" t="s">
        <v>155</v>
      </c>
      <c r="F220" s="149">
        <f>G220</f>
        <v>3.825</v>
      </c>
      <c r="G220" s="149">
        <f>G221</f>
        <v>3.825</v>
      </c>
      <c r="H220" s="149"/>
    </row>
    <row r="221" spans="1:8" s="400" customFormat="1" ht="50.25" customHeight="1">
      <c r="A221" s="109" t="s">
        <v>188</v>
      </c>
      <c r="B221" s="18" t="s">
        <v>157</v>
      </c>
      <c r="C221" s="18" t="s">
        <v>380</v>
      </c>
      <c r="D221" s="18" t="s">
        <v>492</v>
      </c>
      <c r="E221" s="18" t="s">
        <v>189</v>
      </c>
      <c r="F221" s="149">
        <f>G221</f>
        <v>3.825</v>
      </c>
      <c r="G221" s="149">
        <v>3.825</v>
      </c>
      <c r="H221" s="149"/>
    </row>
    <row r="222" spans="1:8" s="400" customFormat="1" ht="144" customHeight="1">
      <c r="A222" s="87" t="s">
        <v>567</v>
      </c>
      <c r="B222" s="55" t="s">
        <v>157</v>
      </c>
      <c r="C222" s="55" t="s">
        <v>380</v>
      </c>
      <c r="D222" s="55" t="s">
        <v>320</v>
      </c>
      <c r="E222" s="55" t="s">
        <v>409</v>
      </c>
      <c r="F222" s="152">
        <f>G222+H222</f>
        <v>3.38708</v>
      </c>
      <c r="G222" s="152"/>
      <c r="H222" s="152">
        <f>H223</f>
        <v>3.38708</v>
      </c>
    </row>
    <row r="223" spans="1:8" s="400" customFormat="1" ht="36.75" customHeight="1">
      <c r="A223" s="54" t="s">
        <v>187</v>
      </c>
      <c r="B223" s="18" t="s">
        <v>157</v>
      </c>
      <c r="C223" s="18" t="s">
        <v>380</v>
      </c>
      <c r="D223" s="18" t="s">
        <v>568</v>
      </c>
      <c r="E223" s="18" t="s">
        <v>155</v>
      </c>
      <c r="F223" s="149">
        <f>G223+H223</f>
        <v>3.38708</v>
      </c>
      <c r="G223" s="149"/>
      <c r="H223" s="149">
        <f>H224</f>
        <v>3.38708</v>
      </c>
    </row>
    <row r="224" spans="1:8" s="400" customFormat="1" ht="33.75" customHeight="1">
      <c r="A224" s="109" t="s">
        <v>188</v>
      </c>
      <c r="B224" s="18" t="s">
        <v>157</v>
      </c>
      <c r="C224" s="18" t="s">
        <v>380</v>
      </c>
      <c r="D224" s="18" t="s">
        <v>568</v>
      </c>
      <c r="E224" s="18" t="s">
        <v>189</v>
      </c>
      <c r="F224" s="149">
        <f>G224+H224</f>
        <v>3.38708</v>
      </c>
      <c r="G224" s="149"/>
      <c r="H224" s="149">
        <v>3.38708</v>
      </c>
    </row>
    <row r="225" spans="1:8" s="405" customFormat="1" ht="17.25" customHeight="1">
      <c r="A225" s="59" t="s">
        <v>381</v>
      </c>
      <c r="B225" s="55" t="s">
        <v>157</v>
      </c>
      <c r="C225" s="55" t="s">
        <v>377</v>
      </c>
      <c r="D225" s="55" t="s">
        <v>320</v>
      </c>
      <c r="E225" s="55" t="s">
        <v>409</v>
      </c>
      <c r="F225" s="152">
        <f t="shared" si="6"/>
        <v>27066.94229</v>
      </c>
      <c r="G225" s="152">
        <f>G226+G239</f>
        <v>24066.94229</v>
      </c>
      <c r="H225" s="152">
        <f>H226</f>
        <v>3000</v>
      </c>
    </row>
    <row r="226" spans="1:9" s="405" customFormat="1" ht="94.5" customHeight="1">
      <c r="A226" s="59" t="s">
        <v>491</v>
      </c>
      <c r="B226" s="55" t="s">
        <v>157</v>
      </c>
      <c r="C226" s="55" t="s">
        <v>377</v>
      </c>
      <c r="D226" s="55" t="s">
        <v>471</v>
      </c>
      <c r="E226" s="55" t="s">
        <v>409</v>
      </c>
      <c r="F226" s="152">
        <f t="shared" si="6"/>
        <v>26946.48429</v>
      </c>
      <c r="G226" s="152">
        <f>G227+G230+G234</f>
        <v>23946.48429</v>
      </c>
      <c r="H226" s="152">
        <f>H227+H234</f>
        <v>3000</v>
      </c>
      <c r="I226" s="426"/>
    </row>
    <row r="227" spans="1:9" s="400" customFormat="1" ht="33.75" customHeight="1">
      <c r="A227" s="54" t="s">
        <v>382</v>
      </c>
      <c r="B227" s="18" t="s">
        <v>157</v>
      </c>
      <c r="C227" s="18" t="s">
        <v>377</v>
      </c>
      <c r="D227" s="18" t="s">
        <v>494</v>
      </c>
      <c r="E227" s="18" t="s">
        <v>409</v>
      </c>
      <c r="F227" s="149">
        <f aca="true" t="shared" si="8" ref="F227:F245">G227</f>
        <v>14490.181260000001</v>
      </c>
      <c r="G227" s="149">
        <f>G228</f>
        <v>14490.181260000001</v>
      </c>
      <c r="H227" s="149">
        <f>H229</f>
        <v>0</v>
      </c>
      <c r="I227" s="437"/>
    </row>
    <row r="228" spans="1:8" s="400" customFormat="1" ht="35.25" customHeight="1">
      <c r="A228" s="54" t="s">
        <v>187</v>
      </c>
      <c r="B228" s="18" t="s">
        <v>157</v>
      </c>
      <c r="C228" s="18" t="s">
        <v>377</v>
      </c>
      <c r="D228" s="18" t="s">
        <v>494</v>
      </c>
      <c r="E228" s="18" t="s">
        <v>155</v>
      </c>
      <c r="F228" s="149">
        <f t="shared" si="8"/>
        <v>14490.181260000001</v>
      </c>
      <c r="G228" s="149">
        <f>G229</f>
        <v>14490.181260000001</v>
      </c>
      <c r="H228" s="149"/>
    </row>
    <row r="229" spans="1:8" s="400" customFormat="1" ht="47.25" customHeight="1">
      <c r="A229" s="109" t="s">
        <v>188</v>
      </c>
      <c r="B229" s="18" t="s">
        <v>157</v>
      </c>
      <c r="C229" s="18" t="s">
        <v>377</v>
      </c>
      <c r="D229" s="18" t="s">
        <v>494</v>
      </c>
      <c r="E229" s="18" t="s">
        <v>189</v>
      </c>
      <c r="F229" s="149">
        <f t="shared" si="8"/>
        <v>14490.181260000001</v>
      </c>
      <c r="G229" s="149">
        <f>5217-30.30303+9986.48429+161.18502-282-562.18502</f>
        <v>14490.181260000001</v>
      </c>
      <c r="H229" s="149"/>
    </row>
    <row r="230" spans="1:8" s="392" customFormat="1" ht="22.5" customHeight="1">
      <c r="A230" s="109" t="s">
        <v>198</v>
      </c>
      <c r="B230" s="18" t="s">
        <v>157</v>
      </c>
      <c r="C230" s="18" t="s">
        <v>377</v>
      </c>
      <c r="D230" s="18" t="s">
        <v>493</v>
      </c>
      <c r="E230" s="18" t="s">
        <v>199</v>
      </c>
      <c r="F230" s="149">
        <f t="shared" si="8"/>
        <v>9426</v>
      </c>
      <c r="G230" s="149">
        <f>G231+G232+G233</f>
        <v>9426</v>
      </c>
      <c r="H230" s="149"/>
    </row>
    <row r="231" spans="1:8" s="392" customFormat="1" ht="15.75" customHeight="1">
      <c r="A231" s="109" t="s">
        <v>302</v>
      </c>
      <c r="B231" s="18" t="s">
        <v>157</v>
      </c>
      <c r="C231" s="18" t="s">
        <v>377</v>
      </c>
      <c r="D231" s="18" t="s">
        <v>493</v>
      </c>
      <c r="E231" s="18" t="s">
        <v>455</v>
      </c>
      <c r="F231" s="149">
        <f t="shared" si="8"/>
        <v>9426</v>
      </c>
      <c r="G231" s="149">
        <f>9542-161.18502-517+562.18502</f>
        <v>9426</v>
      </c>
      <c r="H231" s="411"/>
    </row>
    <row r="232" spans="1:8" ht="94.5" hidden="1">
      <c r="A232" s="109" t="s">
        <v>513</v>
      </c>
      <c r="B232" s="18" t="s">
        <v>157</v>
      </c>
      <c r="C232" s="18" t="s">
        <v>377</v>
      </c>
      <c r="D232" s="18" t="s">
        <v>514</v>
      </c>
      <c r="E232" s="18" t="s">
        <v>455</v>
      </c>
      <c r="F232" s="149">
        <f>G232</f>
        <v>0</v>
      </c>
      <c r="G232" s="149"/>
      <c r="H232" s="411"/>
    </row>
    <row r="233" spans="1:8" ht="110.25" hidden="1">
      <c r="A233" s="109" t="s">
        <v>517</v>
      </c>
      <c r="B233" s="18" t="s">
        <v>157</v>
      </c>
      <c r="C233" s="18" t="s">
        <v>377</v>
      </c>
      <c r="D233" s="18" t="s">
        <v>518</v>
      </c>
      <c r="E233" s="18" t="s">
        <v>455</v>
      </c>
      <c r="F233" s="149">
        <f>G233</f>
        <v>0</v>
      </c>
      <c r="G233" s="149"/>
      <c r="H233" s="411"/>
    </row>
    <row r="234" spans="1:8" ht="35.25" customHeight="1">
      <c r="A234" s="87" t="s">
        <v>725</v>
      </c>
      <c r="B234" s="55" t="s">
        <v>157</v>
      </c>
      <c r="C234" s="55" t="s">
        <v>377</v>
      </c>
      <c r="D234" s="55" t="s">
        <v>471</v>
      </c>
      <c r="E234" s="55" t="s">
        <v>409</v>
      </c>
      <c r="F234" s="152">
        <f>G234+H234</f>
        <v>3030.30303</v>
      </c>
      <c r="G234" s="152">
        <f>G236+G238</f>
        <v>30.30303</v>
      </c>
      <c r="H234" s="152">
        <f>H236+H238</f>
        <v>3000</v>
      </c>
    </row>
    <row r="235" spans="1:8" ht="35.25" customHeight="1">
      <c r="A235" s="54" t="s">
        <v>187</v>
      </c>
      <c r="B235" s="18" t="s">
        <v>157</v>
      </c>
      <c r="C235" s="18" t="s">
        <v>377</v>
      </c>
      <c r="D235" s="18" t="s">
        <v>719</v>
      </c>
      <c r="E235" s="18" t="s">
        <v>155</v>
      </c>
      <c r="F235" s="149">
        <f>G235+H235</f>
        <v>3000</v>
      </c>
      <c r="G235" s="149"/>
      <c r="H235" s="149">
        <f>H236</f>
        <v>3000</v>
      </c>
    </row>
    <row r="236" spans="1:8" ht="47.25">
      <c r="A236" s="109" t="s">
        <v>188</v>
      </c>
      <c r="B236" s="18" t="s">
        <v>157</v>
      </c>
      <c r="C236" s="18" t="s">
        <v>377</v>
      </c>
      <c r="D236" s="18" t="s">
        <v>719</v>
      </c>
      <c r="E236" s="18" t="s">
        <v>189</v>
      </c>
      <c r="F236" s="149">
        <f>G236+H236</f>
        <v>3000</v>
      </c>
      <c r="G236" s="149"/>
      <c r="H236" s="149">
        <v>3000</v>
      </c>
    </row>
    <row r="237" spans="1:8" ht="31.5">
      <c r="A237" s="54" t="s">
        <v>187</v>
      </c>
      <c r="B237" s="18" t="s">
        <v>157</v>
      </c>
      <c r="C237" s="18" t="s">
        <v>377</v>
      </c>
      <c r="D237" s="18" t="s">
        <v>744</v>
      </c>
      <c r="E237" s="18" t="s">
        <v>155</v>
      </c>
      <c r="F237" s="149">
        <f>G237</f>
        <v>30.30303</v>
      </c>
      <c r="G237" s="149">
        <f>G238</f>
        <v>30.30303</v>
      </c>
      <c r="H237" s="149"/>
    </row>
    <row r="238" spans="1:8" ht="47.25">
      <c r="A238" s="109" t="s">
        <v>188</v>
      </c>
      <c r="B238" s="18" t="s">
        <v>157</v>
      </c>
      <c r="C238" s="18" t="s">
        <v>377</v>
      </c>
      <c r="D238" s="18" t="s">
        <v>744</v>
      </c>
      <c r="E238" s="18" t="s">
        <v>189</v>
      </c>
      <c r="F238" s="149">
        <f>G238</f>
        <v>30.30303</v>
      </c>
      <c r="G238" s="149">
        <v>30.30303</v>
      </c>
      <c r="H238" s="411"/>
    </row>
    <row r="239" spans="1:8" ht="31.5">
      <c r="A239" s="87" t="s">
        <v>149</v>
      </c>
      <c r="B239" s="55" t="s">
        <v>157</v>
      </c>
      <c r="C239" s="55" t="s">
        <v>377</v>
      </c>
      <c r="D239" s="55" t="s">
        <v>10</v>
      </c>
      <c r="E239" s="55" t="s">
        <v>409</v>
      </c>
      <c r="F239" s="152">
        <f t="shared" si="8"/>
        <v>120.458</v>
      </c>
      <c r="G239" s="152">
        <f>G240</f>
        <v>120.458</v>
      </c>
      <c r="H239" s="412"/>
    </row>
    <row r="240" spans="1:8" ht="34.5" customHeight="1">
      <c r="A240" s="109" t="s">
        <v>150</v>
      </c>
      <c r="B240" s="18" t="s">
        <v>157</v>
      </c>
      <c r="C240" s="18" t="s">
        <v>377</v>
      </c>
      <c r="D240" s="18" t="s">
        <v>11</v>
      </c>
      <c r="E240" s="18" t="s">
        <v>409</v>
      </c>
      <c r="F240" s="149">
        <f t="shared" si="8"/>
        <v>120.458</v>
      </c>
      <c r="G240" s="149">
        <f>G241</f>
        <v>120.458</v>
      </c>
      <c r="H240" s="411"/>
    </row>
    <row r="241" spans="1:8" ht="20.25" customHeight="1">
      <c r="A241" s="54" t="s">
        <v>569</v>
      </c>
      <c r="B241" s="18" t="s">
        <v>157</v>
      </c>
      <c r="C241" s="18" t="s">
        <v>377</v>
      </c>
      <c r="D241" s="4" t="s">
        <v>570</v>
      </c>
      <c r="E241" s="18" t="s">
        <v>409</v>
      </c>
      <c r="F241" s="149">
        <f t="shared" si="8"/>
        <v>120.458</v>
      </c>
      <c r="G241" s="149">
        <f>G242+G244</f>
        <v>120.458</v>
      </c>
      <c r="H241" s="411"/>
    </row>
    <row r="242" spans="1:9" ht="24" customHeight="1" hidden="1">
      <c r="A242" s="54" t="s">
        <v>187</v>
      </c>
      <c r="B242" s="18" t="s">
        <v>157</v>
      </c>
      <c r="C242" s="18" t="s">
        <v>377</v>
      </c>
      <c r="D242" s="4" t="s">
        <v>570</v>
      </c>
      <c r="E242" s="18" t="s">
        <v>155</v>
      </c>
      <c r="F242" s="149">
        <f t="shared" si="8"/>
        <v>0</v>
      </c>
      <c r="G242" s="149">
        <f>G243</f>
        <v>0</v>
      </c>
      <c r="H242" s="411"/>
      <c r="I242" s="413"/>
    </row>
    <row r="243" spans="1:9" ht="29.25" customHeight="1" hidden="1">
      <c r="A243" s="109" t="s">
        <v>188</v>
      </c>
      <c r="B243" s="18" t="s">
        <v>157</v>
      </c>
      <c r="C243" s="18" t="s">
        <v>377</v>
      </c>
      <c r="D243" s="4" t="s">
        <v>570</v>
      </c>
      <c r="E243" s="18" t="s">
        <v>189</v>
      </c>
      <c r="F243" s="149">
        <f t="shared" si="8"/>
        <v>0</v>
      </c>
      <c r="G243" s="149">
        <v>0</v>
      </c>
      <c r="H243" s="411"/>
      <c r="I243" s="413"/>
    </row>
    <row r="244" spans="1:9" ht="22.5" customHeight="1">
      <c r="A244" s="54" t="s">
        <v>192</v>
      </c>
      <c r="B244" s="18" t="s">
        <v>157</v>
      </c>
      <c r="C244" s="18" t="s">
        <v>377</v>
      </c>
      <c r="D244" s="4" t="s">
        <v>570</v>
      </c>
      <c r="E244" s="18" t="s">
        <v>193</v>
      </c>
      <c r="F244" s="149">
        <f t="shared" si="8"/>
        <v>120.458</v>
      </c>
      <c r="G244" s="149">
        <f>G245</f>
        <v>120.458</v>
      </c>
      <c r="H244" s="411"/>
      <c r="I244" s="413"/>
    </row>
    <row r="245" spans="1:9" ht="19.5" customHeight="1">
      <c r="A245" s="140" t="s">
        <v>190</v>
      </c>
      <c r="B245" s="18" t="s">
        <v>157</v>
      </c>
      <c r="C245" s="18" t="s">
        <v>377</v>
      </c>
      <c r="D245" s="4" t="s">
        <v>570</v>
      </c>
      <c r="E245" s="18" t="s">
        <v>191</v>
      </c>
      <c r="F245" s="149">
        <f t="shared" si="8"/>
        <v>120.458</v>
      </c>
      <c r="G245" s="149">
        <f>80.3+40.158</f>
        <v>120.458</v>
      </c>
      <c r="H245" s="411"/>
      <c r="I245" s="413"/>
    </row>
    <row r="246" spans="1:8" ht="31.5" hidden="1">
      <c r="A246" s="146" t="s">
        <v>361</v>
      </c>
      <c r="B246" s="122" t="s">
        <v>157</v>
      </c>
      <c r="C246" s="122" t="s">
        <v>383</v>
      </c>
      <c r="D246" s="122" t="s">
        <v>320</v>
      </c>
      <c r="E246" s="122" t="s">
        <v>409</v>
      </c>
      <c r="F246" s="299">
        <f>G246+H246</f>
        <v>0</v>
      </c>
      <c r="G246" s="299">
        <f>G247</f>
        <v>0</v>
      </c>
      <c r="H246" s="302">
        <f>H247</f>
        <v>0</v>
      </c>
    </row>
    <row r="247" spans="1:8" ht="48.75" customHeight="1" hidden="1">
      <c r="A247" s="103" t="s">
        <v>468</v>
      </c>
      <c r="B247" s="122" t="s">
        <v>157</v>
      </c>
      <c r="C247" s="122" t="s">
        <v>383</v>
      </c>
      <c r="D247" s="122" t="s">
        <v>469</v>
      </c>
      <c r="E247" s="122" t="s">
        <v>409</v>
      </c>
      <c r="F247" s="299">
        <f t="shared" si="6"/>
        <v>0</v>
      </c>
      <c r="G247" s="299">
        <f>G248</f>
        <v>0</v>
      </c>
      <c r="H247" s="299">
        <f>H248</f>
        <v>0</v>
      </c>
    </row>
    <row r="248" spans="1:8" s="400" customFormat="1" ht="113.25" customHeight="1" hidden="1">
      <c r="A248" s="80" t="s">
        <v>385</v>
      </c>
      <c r="B248" s="81" t="s">
        <v>157</v>
      </c>
      <c r="C248" s="81" t="s">
        <v>383</v>
      </c>
      <c r="D248" s="81" t="s">
        <v>470</v>
      </c>
      <c r="E248" s="81" t="s">
        <v>409</v>
      </c>
      <c r="F248" s="293">
        <f t="shared" si="6"/>
        <v>0</v>
      </c>
      <c r="G248" s="293">
        <f>G249</f>
        <v>0</v>
      </c>
      <c r="H248" s="293">
        <f>H250</f>
        <v>0</v>
      </c>
    </row>
    <row r="249" spans="1:8" s="400" customFormat="1" ht="18.75" customHeight="1" hidden="1">
      <c r="A249" s="80" t="s">
        <v>192</v>
      </c>
      <c r="B249" s="81" t="s">
        <v>157</v>
      </c>
      <c r="C249" s="81" t="s">
        <v>383</v>
      </c>
      <c r="D249" s="81" t="s">
        <v>470</v>
      </c>
      <c r="E249" s="81" t="s">
        <v>193</v>
      </c>
      <c r="F249" s="293">
        <f t="shared" si="6"/>
        <v>0</v>
      </c>
      <c r="G249" s="293">
        <f>G250</f>
        <v>0</v>
      </c>
      <c r="H249" s="293"/>
    </row>
    <row r="250" spans="1:8" s="400" customFormat="1" ht="62.25" customHeight="1" hidden="1">
      <c r="A250" s="80" t="s">
        <v>386</v>
      </c>
      <c r="B250" s="81" t="s">
        <v>157</v>
      </c>
      <c r="C250" s="81" t="s">
        <v>383</v>
      </c>
      <c r="D250" s="81" t="s">
        <v>470</v>
      </c>
      <c r="E250" s="81" t="s">
        <v>387</v>
      </c>
      <c r="F250" s="293">
        <f t="shared" si="6"/>
        <v>0</v>
      </c>
      <c r="G250" s="293">
        <v>0</v>
      </c>
      <c r="H250" s="293"/>
    </row>
    <row r="251" spans="1:8" s="400" customFormat="1" ht="110.25" customHeight="1" hidden="1">
      <c r="A251" s="130"/>
      <c r="B251" s="128"/>
      <c r="C251" s="128"/>
      <c r="D251" s="128"/>
      <c r="E251" s="128"/>
      <c r="F251" s="303"/>
      <c r="G251" s="303"/>
      <c r="H251" s="303"/>
    </row>
    <row r="252" spans="1:8" s="400" customFormat="1" ht="24" customHeight="1" hidden="1">
      <c r="A252" s="151"/>
      <c r="B252" s="129"/>
      <c r="C252" s="129"/>
      <c r="D252" s="129"/>
      <c r="E252" s="129"/>
      <c r="F252" s="304"/>
      <c r="G252" s="304"/>
      <c r="H252" s="304"/>
    </row>
    <row r="253" spans="1:8" s="400" customFormat="1" ht="25.5" customHeight="1" hidden="1">
      <c r="A253" s="151"/>
      <c r="B253" s="129"/>
      <c r="C253" s="129"/>
      <c r="D253" s="129"/>
      <c r="E253" s="129"/>
      <c r="F253" s="304"/>
      <c r="G253" s="304"/>
      <c r="H253" s="304"/>
    </row>
    <row r="254" spans="1:10" s="409" customFormat="1" ht="32.25" customHeight="1">
      <c r="A254" s="150" t="s">
        <v>388</v>
      </c>
      <c r="B254" s="24" t="s">
        <v>389</v>
      </c>
      <c r="C254" s="24" t="s">
        <v>147</v>
      </c>
      <c r="D254" s="24" t="s">
        <v>320</v>
      </c>
      <c r="E254" s="24" t="s">
        <v>409</v>
      </c>
      <c r="F254" s="291">
        <f>G254+H254</f>
        <v>10354.500259999999</v>
      </c>
      <c r="G254" s="286">
        <f>G255+G290+G279</f>
        <v>7489.531999999999</v>
      </c>
      <c r="H254" s="286">
        <f>H255+H290+H279</f>
        <v>2864.96826</v>
      </c>
      <c r="J254" s="410"/>
    </row>
    <row r="255" spans="1:8" s="405" customFormat="1" ht="16.5" customHeight="1">
      <c r="A255" s="59" t="s">
        <v>362</v>
      </c>
      <c r="B255" s="55" t="s">
        <v>389</v>
      </c>
      <c r="C255" s="55" t="s">
        <v>148</v>
      </c>
      <c r="D255" s="55" t="s">
        <v>320</v>
      </c>
      <c r="E255" s="55" t="s">
        <v>409</v>
      </c>
      <c r="F255" s="152">
        <f t="shared" si="6"/>
        <v>4160.33102</v>
      </c>
      <c r="G255" s="152">
        <f>G256+G263+G266+G271+G276</f>
        <v>1386.3999999999999</v>
      </c>
      <c r="H255" s="152">
        <f>H256+H266</f>
        <v>2773.93102</v>
      </c>
    </row>
    <row r="256" spans="1:8" s="400" customFormat="1" ht="17.25" customHeight="1">
      <c r="A256" s="62" t="s">
        <v>363</v>
      </c>
      <c r="B256" s="17" t="s">
        <v>389</v>
      </c>
      <c r="C256" s="17" t="s">
        <v>148</v>
      </c>
      <c r="D256" s="18" t="s">
        <v>24</v>
      </c>
      <c r="E256" s="17" t="s">
        <v>409</v>
      </c>
      <c r="F256" s="149">
        <f t="shared" si="6"/>
        <v>1174.8</v>
      </c>
      <c r="G256" s="149">
        <f>G257+G260</f>
        <v>1174.8</v>
      </c>
      <c r="H256" s="149">
        <f>H257</f>
        <v>0</v>
      </c>
    </row>
    <row r="257" spans="1:8" s="400" customFormat="1" ht="33.75" customHeight="1">
      <c r="A257" s="80" t="s">
        <v>571</v>
      </c>
      <c r="B257" s="17" t="s">
        <v>389</v>
      </c>
      <c r="C257" s="17" t="s">
        <v>148</v>
      </c>
      <c r="D257" s="18" t="s">
        <v>24</v>
      </c>
      <c r="E257" s="17" t="s">
        <v>409</v>
      </c>
      <c r="F257" s="149">
        <f t="shared" si="6"/>
        <v>503.9</v>
      </c>
      <c r="G257" s="149">
        <f>G258</f>
        <v>503.9</v>
      </c>
      <c r="H257" s="149">
        <f>H259</f>
        <v>0</v>
      </c>
    </row>
    <row r="258" spans="1:8" s="400" customFormat="1" ht="33.75" customHeight="1">
      <c r="A258" s="54" t="s">
        <v>187</v>
      </c>
      <c r="B258" s="17" t="s">
        <v>389</v>
      </c>
      <c r="C258" s="17" t="s">
        <v>148</v>
      </c>
      <c r="D258" s="18" t="s">
        <v>24</v>
      </c>
      <c r="E258" s="17" t="s">
        <v>155</v>
      </c>
      <c r="F258" s="149">
        <f t="shared" si="6"/>
        <v>503.9</v>
      </c>
      <c r="G258" s="149">
        <f>G259</f>
        <v>503.9</v>
      </c>
      <c r="H258" s="149"/>
    </row>
    <row r="259" spans="1:8" s="400" customFormat="1" ht="48.75" customHeight="1">
      <c r="A259" s="109" t="s">
        <v>188</v>
      </c>
      <c r="B259" s="18" t="s">
        <v>389</v>
      </c>
      <c r="C259" s="18" t="s">
        <v>148</v>
      </c>
      <c r="D259" s="18" t="s">
        <v>24</v>
      </c>
      <c r="E259" s="18" t="s">
        <v>189</v>
      </c>
      <c r="F259" s="149">
        <f t="shared" si="6"/>
        <v>503.9</v>
      </c>
      <c r="G259" s="149">
        <v>503.9</v>
      </c>
      <c r="H259" s="149"/>
    </row>
    <row r="260" spans="1:8" s="400" customFormat="1" ht="33" customHeight="1">
      <c r="A260" s="80" t="s">
        <v>490</v>
      </c>
      <c r="B260" s="17" t="s">
        <v>389</v>
      </c>
      <c r="C260" s="17" t="s">
        <v>148</v>
      </c>
      <c r="D260" s="18" t="s">
        <v>92</v>
      </c>
      <c r="E260" s="18" t="s">
        <v>409</v>
      </c>
      <c r="F260" s="149">
        <f t="shared" si="6"/>
        <v>670.9</v>
      </c>
      <c r="G260" s="149">
        <f>G261</f>
        <v>670.9</v>
      </c>
      <c r="H260" s="149"/>
    </row>
    <row r="261" spans="1:8" s="400" customFormat="1" ht="31.5" customHeight="1">
      <c r="A261" s="54" t="s">
        <v>187</v>
      </c>
      <c r="B261" s="17" t="s">
        <v>389</v>
      </c>
      <c r="C261" s="17" t="s">
        <v>148</v>
      </c>
      <c r="D261" s="18" t="s">
        <v>92</v>
      </c>
      <c r="E261" s="18" t="s">
        <v>155</v>
      </c>
      <c r="F261" s="149">
        <f t="shared" si="6"/>
        <v>670.9</v>
      </c>
      <c r="G261" s="149">
        <f>G262</f>
        <v>670.9</v>
      </c>
      <c r="H261" s="149"/>
    </row>
    <row r="262" spans="1:8" s="400" customFormat="1" ht="48" customHeight="1">
      <c r="A262" s="109" t="s">
        <v>188</v>
      </c>
      <c r="B262" s="17" t="s">
        <v>389</v>
      </c>
      <c r="C262" s="17" t="s">
        <v>148</v>
      </c>
      <c r="D262" s="18" t="s">
        <v>92</v>
      </c>
      <c r="E262" s="18" t="s">
        <v>189</v>
      </c>
      <c r="F262" s="149">
        <f t="shared" si="6"/>
        <v>670.9</v>
      </c>
      <c r="G262" s="149">
        <f>655.9+15</f>
        <v>670.9</v>
      </c>
      <c r="H262" s="149"/>
    </row>
    <row r="263" spans="1:8" s="400" customFormat="1" ht="48" customHeight="1" hidden="1">
      <c r="A263" s="87" t="s">
        <v>755</v>
      </c>
      <c r="B263" s="55" t="s">
        <v>389</v>
      </c>
      <c r="C263" s="55" t="s">
        <v>148</v>
      </c>
      <c r="D263" s="55" t="s">
        <v>756</v>
      </c>
      <c r="E263" s="55" t="s">
        <v>409</v>
      </c>
      <c r="F263" s="152">
        <f t="shared" si="6"/>
        <v>0</v>
      </c>
      <c r="G263" s="152">
        <f>G264</f>
        <v>0</v>
      </c>
      <c r="H263" s="152"/>
    </row>
    <row r="264" spans="1:8" s="400" customFormat="1" ht="36" customHeight="1" hidden="1">
      <c r="A264" s="54" t="s">
        <v>187</v>
      </c>
      <c r="B264" s="18" t="s">
        <v>389</v>
      </c>
      <c r="C264" s="18" t="s">
        <v>148</v>
      </c>
      <c r="D264" s="18" t="s">
        <v>756</v>
      </c>
      <c r="E264" s="18" t="s">
        <v>155</v>
      </c>
      <c r="F264" s="149">
        <f t="shared" si="6"/>
        <v>0</v>
      </c>
      <c r="G264" s="149">
        <f>G265</f>
        <v>0</v>
      </c>
      <c r="H264" s="149"/>
    </row>
    <row r="265" spans="1:8" s="400" customFormat="1" ht="48" customHeight="1" hidden="1">
      <c r="A265" s="109" t="s">
        <v>188</v>
      </c>
      <c r="B265" s="18" t="s">
        <v>389</v>
      </c>
      <c r="C265" s="18" t="s">
        <v>148</v>
      </c>
      <c r="D265" s="18" t="s">
        <v>756</v>
      </c>
      <c r="E265" s="18" t="s">
        <v>189</v>
      </c>
      <c r="F265" s="149">
        <f t="shared" si="6"/>
        <v>0</v>
      </c>
      <c r="G265" s="349">
        <v>0</v>
      </c>
      <c r="H265" s="149"/>
    </row>
    <row r="266" spans="1:9" s="400" customFormat="1" ht="81.75" customHeight="1">
      <c r="A266" s="59" t="s">
        <v>572</v>
      </c>
      <c r="B266" s="55" t="s">
        <v>389</v>
      </c>
      <c r="C266" s="55" t="s">
        <v>148</v>
      </c>
      <c r="D266" s="55" t="s">
        <v>573</v>
      </c>
      <c r="E266" s="55" t="s">
        <v>409</v>
      </c>
      <c r="F266" s="152">
        <f t="shared" si="6"/>
        <v>2803.93102</v>
      </c>
      <c r="G266" s="152">
        <f>G267</f>
        <v>30</v>
      </c>
      <c r="H266" s="152">
        <f>H267</f>
        <v>2773.93102</v>
      </c>
      <c r="I266" s="414"/>
    </row>
    <row r="267" spans="1:8" s="400" customFormat="1" ht="63" customHeight="1">
      <c r="A267" s="109" t="s">
        <v>574</v>
      </c>
      <c r="B267" s="18" t="s">
        <v>389</v>
      </c>
      <c r="C267" s="18" t="s">
        <v>148</v>
      </c>
      <c r="D267" s="18" t="s">
        <v>573</v>
      </c>
      <c r="E267" s="18" t="s">
        <v>409</v>
      </c>
      <c r="F267" s="149">
        <f t="shared" si="6"/>
        <v>2803.93102</v>
      </c>
      <c r="G267" s="149">
        <f>G268</f>
        <v>30</v>
      </c>
      <c r="H267" s="149">
        <f>H268</f>
        <v>2773.93102</v>
      </c>
    </row>
    <row r="268" spans="1:8" s="400" customFormat="1" ht="24" customHeight="1">
      <c r="A268" s="54" t="s">
        <v>192</v>
      </c>
      <c r="B268" s="18" t="s">
        <v>389</v>
      </c>
      <c r="C268" s="18" t="s">
        <v>148</v>
      </c>
      <c r="D268" s="18" t="s">
        <v>573</v>
      </c>
      <c r="E268" s="18" t="s">
        <v>193</v>
      </c>
      <c r="F268" s="149">
        <f t="shared" si="6"/>
        <v>2803.93102</v>
      </c>
      <c r="G268" s="149">
        <f>G270</f>
        <v>30</v>
      </c>
      <c r="H268" s="149">
        <f>H269</f>
        <v>2773.93102</v>
      </c>
    </row>
    <row r="269" spans="1:8" s="400" customFormat="1" ht="63" customHeight="1">
      <c r="A269" s="54" t="s">
        <v>713</v>
      </c>
      <c r="B269" s="18" t="s">
        <v>389</v>
      </c>
      <c r="C269" s="18" t="s">
        <v>148</v>
      </c>
      <c r="D269" s="18" t="s">
        <v>575</v>
      </c>
      <c r="E269" s="18" t="s">
        <v>458</v>
      </c>
      <c r="F269" s="149">
        <f t="shared" si="6"/>
        <v>2773.93102</v>
      </c>
      <c r="G269" s="149"/>
      <c r="H269" s="149">
        <f>1382.48629+1391.44473</f>
        <v>2773.93102</v>
      </c>
    </row>
    <row r="270" spans="1:8" s="400" customFormat="1" ht="63" customHeight="1">
      <c r="A270" s="54" t="s">
        <v>714</v>
      </c>
      <c r="B270" s="18" t="s">
        <v>389</v>
      </c>
      <c r="C270" s="18" t="s">
        <v>148</v>
      </c>
      <c r="D270" s="18" t="s">
        <v>743</v>
      </c>
      <c r="E270" s="18" t="s">
        <v>458</v>
      </c>
      <c r="F270" s="149">
        <f t="shared" si="6"/>
        <v>30</v>
      </c>
      <c r="G270" s="149">
        <f>20+10</f>
        <v>30</v>
      </c>
      <c r="H270" s="149"/>
    </row>
    <row r="271" spans="1:8" s="400" customFormat="1" ht="33" customHeight="1">
      <c r="A271" s="87" t="s">
        <v>149</v>
      </c>
      <c r="B271" s="55" t="s">
        <v>389</v>
      </c>
      <c r="C271" s="55" t="s">
        <v>148</v>
      </c>
      <c r="D271" s="55" t="s">
        <v>10</v>
      </c>
      <c r="E271" s="55" t="s">
        <v>409</v>
      </c>
      <c r="F271" s="152">
        <f t="shared" si="6"/>
        <v>100</v>
      </c>
      <c r="G271" s="152">
        <f>G272</f>
        <v>100</v>
      </c>
      <c r="H271" s="152"/>
    </row>
    <row r="272" spans="1:8" s="400" customFormat="1" ht="33" customHeight="1">
      <c r="A272" s="109" t="s">
        <v>150</v>
      </c>
      <c r="B272" s="18" t="s">
        <v>389</v>
      </c>
      <c r="C272" s="18" t="s">
        <v>148</v>
      </c>
      <c r="D272" s="18" t="s">
        <v>11</v>
      </c>
      <c r="E272" s="18" t="s">
        <v>409</v>
      </c>
      <c r="F272" s="149">
        <f t="shared" si="6"/>
        <v>100</v>
      </c>
      <c r="G272" s="149">
        <f>G273</f>
        <v>100</v>
      </c>
      <c r="H272" s="149"/>
    </row>
    <row r="273" spans="1:8" s="400" customFormat="1" ht="114.75" customHeight="1">
      <c r="A273" s="77" t="s">
        <v>576</v>
      </c>
      <c r="B273" s="135" t="s">
        <v>389</v>
      </c>
      <c r="C273" s="135" t="s">
        <v>148</v>
      </c>
      <c r="D273" s="135" t="s">
        <v>577</v>
      </c>
      <c r="E273" s="135" t="s">
        <v>409</v>
      </c>
      <c r="F273" s="289">
        <f t="shared" si="6"/>
        <v>100</v>
      </c>
      <c r="G273" s="289">
        <f>G274</f>
        <v>100</v>
      </c>
      <c r="H273" s="289"/>
    </row>
    <row r="274" spans="1:8" s="400" customFormat="1" ht="36" customHeight="1">
      <c r="A274" s="54" t="s">
        <v>187</v>
      </c>
      <c r="B274" s="18" t="s">
        <v>389</v>
      </c>
      <c r="C274" s="18" t="s">
        <v>148</v>
      </c>
      <c r="D274" s="18" t="s">
        <v>577</v>
      </c>
      <c r="E274" s="18" t="s">
        <v>155</v>
      </c>
      <c r="F274" s="149">
        <f t="shared" si="6"/>
        <v>100</v>
      </c>
      <c r="G274" s="149">
        <f>G275</f>
        <v>100</v>
      </c>
      <c r="H274" s="149"/>
    </row>
    <row r="275" spans="1:8" s="400" customFormat="1" ht="48" customHeight="1">
      <c r="A275" s="109" t="s">
        <v>188</v>
      </c>
      <c r="B275" s="18" t="s">
        <v>389</v>
      </c>
      <c r="C275" s="18" t="s">
        <v>148</v>
      </c>
      <c r="D275" s="18" t="s">
        <v>577</v>
      </c>
      <c r="E275" s="18" t="s">
        <v>189</v>
      </c>
      <c r="F275" s="149">
        <f t="shared" si="6"/>
        <v>100</v>
      </c>
      <c r="G275" s="149">
        <f>250-150</f>
        <v>100</v>
      </c>
      <c r="H275" s="149"/>
    </row>
    <row r="276" spans="1:8" s="415" customFormat="1" ht="79.5" customHeight="1">
      <c r="A276" s="87" t="s">
        <v>529</v>
      </c>
      <c r="B276" s="55" t="s">
        <v>389</v>
      </c>
      <c r="C276" s="55" t="s">
        <v>148</v>
      </c>
      <c r="D276" s="55" t="s">
        <v>527</v>
      </c>
      <c r="E276" s="55" t="s">
        <v>409</v>
      </c>
      <c r="F276" s="152">
        <f t="shared" si="6"/>
        <v>81.6</v>
      </c>
      <c r="G276" s="152">
        <f>G277</f>
        <v>81.6</v>
      </c>
      <c r="H276" s="152"/>
    </row>
    <row r="277" spans="1:8" s="400" customFormat="1" ht="39" customHeight="1">
      <c r="A277" s="54" t="s">
        <v>187</v>
      </c>
      <c r="B277" s="18" t="s">
        <v>389</v>
      </c>
      <c r="C277" s="18" t="s">
        <v>148</v>
      </c>
      <c r="D277" s="18" t="s">
        <v>667</v>
      </c>
      <c r="E277" s="18" t="s">
        <v>155</v>
      </c>
      <c r="F277" s="149">
        <f>G277</f>
        <v>81.6</v>
      </c>
      <c r="G277" s="149">
        <f>G278</f>
        <v>81.6</v>
      </c>
      <c r="H277" s="149"/>
    </row>
    <row r="278" spans="1:8" s="400" customFormat="1" ht="48" customHeight="1">
      <c r="A278" s="109" t="s">
        <v>188</v>
      </c>
      <c r="B278" s="18" t="s">
        <v>389</v>
      </c>
      <c r="C278" s="18" t="s">
        <v>148</v>
      </c>
      <c r="D278" s="18" t="s">
        <v>667</v>
      </c>
      <c r="E278" s="18" t="s">
        <v>189</v>
      </c>
      <c r="F278" s="149">
        <f>G278</f>
        <v>81.6</v>
      </c>
      <c r="G278" s="149">
        <f>31.6+50</f>
        <v>81.6</v>
      </c>
      <c r="H278" s="149"/>
    </row>
    <row r="279" spans="1:8" s="403" customFormat="1" ht="17.25" customHeight="1">
      <c r="A279" s="50" t="s">
        <v>393</v>
      </c>
      <c r="B279" s="52" t="s">
        <v>389</v>
      </c>
      <c r="C279" s="52" t="s">
        <v>153</v>
      </c>
      <c r="D279" s="52" t="s">
        <v>320</v>
      </c>
      <c r="E279" s="55" t="s">
        <v>409</v>
      </c>
      <c r="F279" s="152">
        <f t="shared" si="6"/>
        <v>2446.344</v>
      </c>
      <c r="G279" s="152">
        <f>G280+G285+G283</f>
        <v>2357.002</v>
      </c>
      <c r="H279" s="152">
        <f>H280+H285+H283</f>
        <v>89.342</v>
      </c>
    </row>
    <row r="280" spans="1:8" s="400" customFormat="1" ht="17.25" customHeight="1">
      <c r="A280" s="109" t="s">
        <v>394</v>
      </c>
      <c r="B280" s="17" t="s">
        <v>389</v>
      </c>
      <c r="C280" s="17" t="s">
        <v>153</v>
      </c>
      <c r="D280" s="18" t="s">
        <v>25</v>
      </c>
      <c r="E280" s="18" t="s">
        <v>409</v>
      </c>
      <c r="F280" s="149">
        <f t="shared" si="6"/>
        <v>75</v>
      </c>
      <c r="G280" s="149">
        <f>G281</f>
        <v>75</v>
      </c>
      <c r="H280" s="149">
        <f>H281</f>
        <v>0</v>
      </c>
    </row>
    <row r="281" spans="1:8" s="400" customFormat="1" ht="34.5" customHeight="1">
      <c r="A281" s="54" t="s">
        <v>187</v>
      </c>
      <c r="B281" s="17" t="s">
        <v>389</v>
      </c>
      <c r="C281" s="17" t="s">
        <v>153</v>
      </c>
      <c r="D281" s="18" t="s">
        <v>25</v>
      </c>
      <c r="E281" s="18" t="s">
        <v>155</v>
      </c>
      <c r="F281" s="149">
        <f t="shared" si="6"/>
        <v>75</v>
      </c>
      <c r="G281" s="149">
        <f>G282</f>
        <v>75</v>
      </c>
      <c r="H281" s="149">
        <f>H282</f>
        <v>0</v>
      </c>
    </row>
    <row r="282" spans="1:8" s="400" customFormat="1" ht="49.5" customHeight="1">
      <c r="A282" s="109" t="s">
        <v>188</v>
      </c>
      <c r="B282" s="17" t="s">
        <v>389</v>
      </c>
      <c r="C282" s="17" t="s">
        <v>153</v>
      </c>
      <c r="D282" s="18" t="s">
        <v>25</v>
      </c>
      <c r="E282" s="18" t="s">
        <v>189</v>
      </c>
      <c r="F282" s="149">
        <f t="shared" si="6"/>
        <v>75</v>
      </c>
      <c r="G282" s="149">
        <f>90-15</f>
        <v>75</v>
      </c>
      <c r="H282" s="149"/>
    </row>
    <row r="283" spans="1:8" s="400" customFormat="1" ht="49.5" customHeight="1">
      <c r="A283" s="84" t="s">
        <v>937</v>
      </c>
      <c r="B283" s="18" t="s">
        <v>389</v>
      </c>
      <c r="C283" s="18" t="s">
        <v>153</v>
      </c>
      <c r="D283" s="66" t="s">
        <v>933</v>
      </c>
      <c r="E283" s="66" t="s">
        <v>387</v>
      </c>
      <c r="F283" s="149">
        <f>G283+H283</f>
        <v>89.342</v>
      </c>
      <c r="G283" s="149">
        <f>G284</f>
        <v>0</v>
      </c>
      <c r="H283" s="149">
        <f>H284</f>
        <v>89.342</v>
      </c>
    </row>
    <row r="284" spans="1:8" s="400" customFormat="1" ht="49.5" customHeight="1">
      <c r="A284" s="35" t="s">
        <v>715</v>
      </c>
      <c r="B284" s="17" t="s">
        <v>389</v>
      </c>
      <c r="C284" s="17" t="s">
        <v>153</v>
      </c>
      <c r="D284" s="66" t="s">
        <v>933</v>
      </c>
      <c r="E284" s="66" t="s">
        <v>458</v>
      </c>
      <c r="F284" s="149">
        <f>G284+H284</f>
        <v>89.342</v>
      </c>
      <c r="G284" s="149">
        <v>0</v>
      </c>
      <c r="H284" s="188">
        <v>89.342</v>
      </c>
    </row>
    <row r="285" spans="1:8" s="400" customFormat="1" ht="17.25" customHeight="1">
      <c r="A285" s="109" t="s">
        <v>395</v>
      </c>
      <c r="B285" s="17" t="s">
        <v>389</v>
      </c>
      <c r="C285" s="17" t="s">
        <v>153</v>
      </c>
      <c r="D285" s="18" t="s">
        <v>26</v>
      </c>
      <c r="E285" s="18" t="s">
        <v>409</v>
      </c>
      <c r="F285" s="149">
        <f t="shared" si="6"/>
        <v>2282.002</v>
      </c>
      <c r="G285" s="149">
        <f>G286+G288</f>
        <v>2282.002</v>
      </c>
      <c r="H285" s="149">
        <f>H286</f>
        <v>0</v>
      </c>
    </row>
    <row r="286" spans="1:8" s="400" customFormat="1" ht="37.5" customHeight="1">
      <c r="A286" s="54" t="s">
        <v>187</v>
      </c>
      <c r="B286" s="17" t="s">
        <v>389</v>
      </c>
      <c r="C286" s="17" t="s">
        <v>153</v>
      </c>
      <c r="D286" s="18" t="s">
        <v>26</v>
      </c>
      <c r="E286" s="18" t="s">
        <v>155</v>
      </c>
      <c r="F286" s="149">
        <f t="shared" si="6"/>
        <v>1985.404</v>
      </c>
      <c r="G286" s="149">
        <f>G287</f>
        <v>1985.404</v>
      </c>
      <c r="H286" s="149">
        <f>H287</f>
        <v>0</v>
      </c>
    </row>
    <row r="287" spans="1:8" s="400" customFormat="1" ht="48" customHeight="1">
      <c r="A287" s="109" t="s">
        <v>188</v>
      </c>
      <c r="B287" s="17" t="s">
        <v>389</v>
      </c>
      <c r="C287" s="17" t="s">
        <v>153</v>
      </c>
      <c r="D287" s="18" t="s">
        <v>26</v>
      </c>
      <c r="E287" s="18" t="s">
        <v>189</v>
      </c>
      <c r="F287" s="149">
        <f t="shared" si="6"/>
        <v>1985.404</v>
      </c>
      <c r="G287" s="149">
        <f>100+1950.4+0.004-65</f>
        <v>1985.404</v>
      </c>
      <c r="H287" s="149"/>
    </row>
    <row r="288" spans="1:8" s="400" customFormat="1" ht="48" customHeight="1">
      <c r="A288" s="109" t="s">
        <v>599</v>
      </c>
      <c r="B288" s="18" t="s">
        <v>389</v>
      </c>
      <c r="C288" s="18" t="s">
        <v>153</v>
      </c>
      <c r="D288" s="18" t="s">
        <v>26</v>
      </c>
      <c r="E288" s="18" t="s">
        <v>600</v>
      </c>
      <c r="F288" s="149">
        <f>G288</f>
        <v>296.598</v>
      </c>
      <c r="G288" s="149">
        <f>G289</f>
        <v>296.598</v>
      </c>
      <c r="H288" s="149"/>
    </row>
    <row r="289" spans="1:8" s="400" customFormat="1" ht="16.5" customHeight="1">
      <c r="A289" s="109" t="s">
        <v>601</v>
      </c>
      <c r="B289" s="18" t="s">
        <v>389</v>
      </c>
      <c r="C289" s="18" t="s">
        <v>153</v>
      </c>
      <c r="D289" s="18" t="s">
        <v>26</v>
      </c>
      <c r="E289" s="18" t="s">
        <v>602</v>
      </c>
      <c r="F289" s="149">
        <f>G289</f>
        <v>296.598</v>
      </c>
      <c r="G289" s="149">
        <v>296.598</v>
      </c>
      <c r="H289" s="149"/>
    </row>
    <row r="290" spans="1:8" s="404" customFormat="1" ht="34.5" customHeight="1">
      <c r="A290" s="62" t="s">
        <v>366</v>
      </c>
      <c r="B290" s="17" t="s">
        <v>389</v>
      </c>
      <c r="C290" s="17" t="s">
        <v>389</v>
      </c>
      <c r="D290" s="17" t="s">
        <v>320</v>
      </c>
      <c r="E290" s="18" t="s">
        <v>409</v>
      </c>
      <c r="F290" s="149">
        <f t="shared" si="6"/>
        <v>3747.82524</v>
      </c>
      <c r="G290" s="149">
        <f>G291</f>
        <v>3746.13</v>
      </c>
      <c r="H290" s="149">
        <f>H291+H298</f>
        <v>1.69524</v>
      </c>
    </row>
    <row r="291" spans="1:8" s="400" customFormat="1" ht="33.75" customHeight="1">
      <c r="A291" s="62" t="s">
        <v>149</v>
      </c>
      <c r="B291" s="17" t="s">
        <v>389</v>
      </c>
      <c r="C291" s="17" t="s">
        <v>389</v>
      </c>
      <c r="D291" s="17" t="s">
        <v>11</v>
      </c>
      <c r="E291" s="17" t="s">
        <v>409</v>
      </c>
      <c r="F291" s="149">
        <f t="shared" si="6"/>
        <v>3746.13</v>
      </c>
      <c r="G291" s="149">
        <f>G292</f>
        <v>3746.13</v>
      </c>
      <c r="H291" s="149">
        <f>H292</f>
        <v>0</v>
      </c>
    </row>
    <row r="292" spans="1:8" s="415" customFormat="1" ht="48" customHeight="1">
      <c r="A292" s="88" t="s">
        <v>150</v>
      </c>
      <c r="B292" s="52" t="s">
        <v>389</v>
      </c>
      <c r="C292" s="52" t="s">
        <v>389</v>
      </c>
      <c r="D292" s="52" t="s">
        <v>14</v>
      </c>
      <c r="E292" s="52" t="s">
        <v>409</v>
      </c>
      <c r="F292" s="152">
        <f t="shared" si="6"/>
        <v>3746.13</v>
      </c>
      <c r="G292" s="152">
        <f>G293</f>
        <v>3746.13</v>
      </c>
      <c r="H292" s="152">
        <f>H293</f>
        <v>0</v>
      </c>
    </row>
    <row r="293" spans="1:8" s="400" customFormat="1" ht="48" customHeight="1">
      <c r="A293" s="62" t="s">
        <v>390</v>
      </c>
      <c r="B293" s="17" t="s">
        <v>389</v>
      </c>
      <c r="C293" s="17" t="s">
        <v>389</v>
      </c>
      <c r="D293" s="17" t="s">
        <v>14</v>
      </c>
      <c r="E293" s="17" t="s">
        <v>409</v>
      </c>
      <c r="F293" s="149">
        <f t="shared" si="6"/>
        <v>3746.13</v>
      </c>
      <c r="G293" s="149">
        <f>G294+G296</f>
        <v>3746.13</v>
      </c>
      <c r="H293" s="149">
        <f>SUM(H294:H297)</f>
        <v>0</v>
      </c>
    </row>
    <row r="294" spans="1:8" s="400" customFormat="1" ht="96.75" customHeight="1">
      <c r="A294" s="62" t="s">
        <v>184</v>
      </c>
      <c r="B294" s="17" t="s">
        <v>389</v>
      </c>
      <c r="C294" s="17" t="s">
        <v>389</v>
      </c>
      <c r="D294" s="17" t="s">
        <v>14</v>
      </c>
      <c r="E294" s="17" t="s">
        <v>151</v>
      </c>
      <c r="F294" s="149">
        <f t="shared" si="6"/>
        <v>3582.5</v>
      </c>
      <c r="G294" s="149">
        <f>G295</f>
        <v>3582.5</v>
      </c>
      <c r="H294" s="149"/>
    </row>
    <row r="295" spans="1:8" s="400" customFormat="1" ht="34.5" customHeight="1">
      <c r="A295" s="109" t="s">
        <v>186</v>
      </c>
      <c r="B295" s="18" t="s">
        <v>389</v>
      </c>
      <c r="C295" s="18" t="s">
        <v>389</v>
      </c>
      <c r="D295" s="18" t="s">
        <v>14</v>
      </c>
      <c r="E295" s="18" t="s">
        <v>185</v>
      </c>
      <c r="F295" s="149">
        <f t="shared" si="6"/>
        <v>3582.5</v>
      </c>
      <c r="G295" s="149">
        <f>2717+45+820.5</f>
        <v>3582.5</v>
      </c>
      <c r="H295" s="149"/>
    </row>
    <row r="296" spans="1:8" s="400" customFormat="1" ht="32.25" customHeight="1">
      <c r="A296" s="54" t="s">
        <v>187</v>
      </c>
      <c r="B296" s="18" t="s">
        <v>389</v>
      </c>
      <c r="C296" s="18" t="s">
        <v>389</v>
      </c>
      <c r="D296" s="18" t="s">
        <v>14</v>
      </c>
      <c r="E296" s="18" t="s">
        <v>155</v>
      </c>
      <c r="F296" s="149">
        <f t="shared" si="6"/>
        <v>163.63</v>
      </c>
      <c r="G296" s="149">
        <f>G297</f>
        <v>163.63</v>
      </c>
      <c r="H296" s="149"/>
    </row>
    <row r="297" spans="1:8" s="400" customFormat="1" ht="50.25" customHeight="1">
      <c r="A297" s="109" t="s">
        <v>188</v>
      </c>
      <c r="B297" s="18" t="s">
        <v>389</v>
      </c>
      <c r="C297" s="18" t="s">
        <v>389</v>
      </c>
      <c r="D297" s="18" t="s">
        <v>14</v>
      </c>
      <c r="E297" s="18" t="s">
        <v>189</v>
      </c>
      <c r="F297" s="149">
        <f t="shared" si="6"/>
        <v>163.63</v>
      </c>
      <c r="G297" s="149">
        <f>58.63+15+65+25</f>
        <v>163.63</v>
      </c>
      <c r="H297" s="149"/>
    </row>
    <row r="298" spans="1:8" s="415" customFormat="1" ht="78" customHeight="1">
      <c r="A298" s="87" t="s">
        <v>740</v>
      </c>
      <c r="B298" s="55" t="s">
        <v>389</v>
      </c>
      <c r="C298" s="55" t="s">
        <v>389</v>
      </c>
      <c r="D298" s="55" t="s">
        <v>27</v>
      </c>
      <c r="E298" s="55" t="s">
        <v>409</v>
      </c>
      <c r="F298" s="152">
        <f t="shared" si="6"/>
        <v>1.69524</v>
      </c>
      <c r="G298" s="152"/>
      <c r="H298" s="152">
        <f>H299+H301</f>
        <v>1.69524</v>
      </c>
    </row>
    <row r="299" spans="1:8" s="400" customFormat="1" ht="94.5" customHeight="1">
      <c r="A299" s="109" t="s">
        <v>364</v>
      </c>
      <c r="B299" s="17" t="s">
        <v>389</v>
      </c>
      <c r="C299" s="17" t="s">
        <v>389</v>
      </c>
      <c r="D299" s="17" t="s">
        <v>27</v>
      </c>
      <c r="E299" s="17" t="s">
        <v>151</v>
      </c>
      <c r="F299" s="149">
        <f t="shared" si="6"/>
        <v>1.69524</v>
      </c>
      <c r="G299" s="149"/>
      <c r="H299" s="149">
        <f>H300</f>
        <v>1.69524</v>
      </c>
    </row>
    <row r="300" spans="1:8" s="400" customFormat="1" ht="34.5" customHeight="1">
      <c r="A300" s="109" t="s">
        <v>186</v>
      </c>
      <c r="B300" s="17" t="s">
        <v>389</v>
      </c>
      <c r="C300" s="17" t="s">
        <v>389</v>
      </c>
      <c r="D300" s="17" t="s">
        <v>27</v>
      </c>
      <c r="E300" s="17" t="s">
        <v>185</v>
      </c>
      <c r="F300" s="149">
        <f t="shared" si="6"/>
        <v>1.69524</v>
      </c>
      <c r="G300" s="149"/>
      <c r="H300" s="149">
        <v>1.69524</v>
      </c>
    </row>
    <row r="301" spans="1:8" s="400" customFormat="1" ht="34.5" customHeight="1" hidden="1">
      <c r="A301" s="109" t="s">
        <v>187</v>
      </c>
      <c r="B301" s="17" t="s">
        <v>389</v>
      </c>
      <c r="C301" s="17" t="s">
        <v>389</v>
      </c>
      <c r="D301" s="17" t="s">
        <v>27</v>
      </c>
      <c r="E301" s="17" t="s">
        <v>155</v>
      </c>
      <c r="F301" s="149">
        <f t="shared" si="6"/>
        <v>0</v>
      </c>
      <c r="G301" s="149"/>
      <c r="H301" s="149">
        <f>H302</f>
        <v>0</v>
      </c>
    </row>
    <row r="302" spans="1:8" s="400" customFormat="1" ht="51" customHeight="1" hidden="1">
      <c r="A302" s="109" t="s">
        <v>188</v>
      </c>
      <c r="B302" s="17" t="s">
        <v>389</v>
      </c>
      <c r="C302" s="17" t="s">
        <v>389</v>
      </c>
      <c r="D302" s="17" t="s">
        <v>27</v>
      </c>
      <c r="E302" s="17" t="s">
        <v>189</v>
      </c>
      <c r="F302" s="149">
        <f t="shared" si="6"/>
        <v>0</v>
      </c>
      <c r="G302" s="149"/>
      <c r="H302" s="149">
        <v>0</v>
      </c>
    </row>
    <row r="303" spans="1:12" s="409" customFormat="1" ht="20.25" customHeight="1">
      <c r="A303" s="150" t="s">
        <v>391</v>
      </c>
      <c r="B303" s="24" t="s">
        <v>392</v>
      </c>
      <c r="C303" s="24" t="s">
        <v>147</v>
      </c>
      <c r="D303" s="24" t="s">
        <v>320</v>
      </c>
      <c r="E303" s="24" t="s">
        <v>409</v>
      </c>
      <c r="F303" s="291">
        <f>G303+H303</f>
        <v>439245.62059</v>
      </c>
      <c r="G303" s="286">
        <f>G304+G332+G366+G382+G406+G429+G411</f>
        <v>210083.35504</v>
      </c>
      <c r="H303" s="286">
        <f>H304+H332+H406+H429+H411+H382</f>
        <v>229162.26555</v>
      </c>
      <c r="J303" s="410"/>
      <c r="K303" s="416"/>
      <c r="L303" s="416"/>
    </row>
    <row r="304" spans="1:8" s="400" customFormat="1" ht="18.75" customHeight="1">
      <c r="A304" s="153" t="s">
        <v>400</v>
      </c>
      <c r="B304" s="154" t="s">
        <v>392</v>
      </c>
      <c r="C304" s="154" t="s">
        <v>146</v>
      </c>
      <c r="D304" s="154" t="s">
        <v>320</v>
      </c>
      <c r="E304" s="154" t="s">
        <v>409</v>
      </c>
      <c r="F304" s="288">
        <f t="shared" si="6"/>
        <v>76224.853</v>
      </c>
      <c r="G304" s="288">
        <f>G305+G314+G323+G327</f>
        <v>37796.48100000001</v>
      </c>
      <c r="H304" s="288">
        <f>H320</f>
        <v>38428.372</v>
      </c>
    </row>
    <row r="305" spans="1:8" s="415" customFormat="1" ht="49.5" customHeight="1">
      <c r="A305" s="59" t="s">
        <v>473</v>
      </c>
      <c r="B305" s="55" t="s">
        <v>392</v>
      </c>
      <c r="C305" s="55" t="s">
        <v>146</v>
      </c>
      <c r="D305" s="55" t="s">
        <v>29</v>
      </c>
      <c r="E305" s="55" t="s">
        <v>409</v>
      </c>
      <c r="F305" s="152">
        <f t="shared" si="6"/>
        <v>36896.48100000001</v>
      </c>
      <c r="G305" s="152">
        <f>G306</f>
        <v>36896.48100000001</v>
      </c>
      <c r="H305" s="152">
        <f>H306</f>
        <v>0</v>
      </c>
    </row>
    <row r="306" spans="1:8" s="400" customFormat="1" ht="48" customHeight="1">
      <c r="A306" s="60" t="s">
        <v>258</v>
      </c>
      <c r="B306" s="18" t="s">
        <v>392</v>
      </c>
      <c r="C306" s="18" t="s">
        <v>146</v>
      </c>
      <c r="D306" s="18" t="s">
        <v>42</v>
      </c>
      <c r="E306" s="18" t="s">
        <v>409</v>
      </c>
      <c r="F306" s="149">
        <f t="shared" si="6"/>
        <v>36896.48100000001</v>
      </c>
      <c r="G306" s="149">
        <f>G307+G309+G312</f>
        <v>36896.48100000001</v>
      </c>
      <c r="H306" s="149">
        <f>SUM(H308:H311)</f>
        <v>0</v>
      </c>
    </row>
    <row r="307" spans="1:8" s="400" customFormat="1" ht="50.25" customHeight="1">
      <c r="A307" s="62" t="s">
        <v>210</v>
      </c>
      <c r="B307" s="18" t="s">
        <v>392</v>
      </c>
      <c r="C307" s="18" t="s">
        <v>146</v>
      </c>
      <c r="D307" s="18" t="s">
        <v>44</v>
      </c>
      <c r="E307" s="18" t="s">
        <v>211</v>
      </c>
      <c r="F307" s="149">
        <f t="shared" si="6"/>
        <v>2984.8810000000003</v>
      </c>
      <c r="G307" s="149">
        <f>G308</f>
        <v>2984.8810000000003</v>
      </c>
      <c r="H307" s="149">
        <f>H308</f>
        <v>0</v>
      </c>
    </row>
    <row r="308" spans="1:8" s="400" customFormat="1" ht="19.5" customHeight="1">
      <c r="A308" s="54" t="s">
        <v>212</v>
      </c>
      <c r="B308" s="18" t="s">
        <v>392</v>
      </c>
      <c r="C308" s="18" t="s">
        <v>146</v>
      </c>
      <c r="D308" s="18" t="s">
        <v>43</v>
      </c>
      <c r="E308" s="18" t="s">
        <v>287</v>
      </c>
      <c r="F308" s="149">
        <f t="shared" si="6"/>
        <v>2984.8810000000003</v>
      </c>
      <c r="G308" s="149">
        <f>200+200+2794.8-209.919</f>
        <v>2984.8810000000003</v>
      </c>
      <c r="H308" s="149"/>
    </row>
    <row r="309" spans="1:8" s="400" customFormat="1" ht="96" customHeight="1">
      <c r="A309" s="54" t="s">
        <v>932</v>
      </c>
      <c r="B309" s="18" t="s">
        <v>392</v>
      </c>
      <c r="C309" s="18" t="s">
        <v>146</v>
      </c>
      <c r="D309" s="18" t="s">
        <v>44</v>
      </c>
      <c r="E309" s="18" t="s">
        <v>409</v>
      </c>
      <c r="F309" s="149">
        <f t="shared" si="6"/>
        <v>33831.600000000006</v>
      </c>
      <c r="G309" s="149">
        <f>G310</f>
        <v>33831.600000000006</v>
      </c>
      <c r="H309" s="149">
        <f>SUM(H310:H311)</f>
        <v>0</v>
      </c>
    </row>
    <row r="310" spans="1:8" s="400" customFormat="1" ht="48" customHeight="1">
      <c r="A310" s="54" t="s">
        <v>210</v>
      </c>
      <c r="B310" s="18" t="s">
        <v>392</v>
      </c>
      <c r="C310" s="18" t="s">
        <v>146</v>
      </c>
      <c r="D310" s="18" t="s">
        <v>45</v>
      </c>
      <c r="E310" s="18" t="s">
        <v>211</v>
      </c>
      <c r="F310" s="149">
        <f t="shared" si="6"/>
        <v>33831.600000000006</v>
      </c>
      <c r="G310" s="149">
        <f>G311</f>
        <v>33831.600000000006</v>
      </c>
      <c r="H310" s="149"/>
    </row>
    <row r="311" spans="1:10" s="400" customFormat="1" ht="15.75" customHeight="1">
      <c r="A311" s="54" t="s">
        <v>212</v>
      </c>
      <c r="B311" s="18" t="s">
        <v>392</v>
      </c>
      <c r="C311" s="18" t="s">
        <v>146</v>
      </c>
      <c r="D311" s="18" t="s">
        <v>45</v>
      </c>
      <c r="E311" s="18" t="s">
        <v>287</v>
      </c>
      <c r="F311" s="149">
        <f t="shared" si="6"/>
        <v>33831.600000000006</v>
      </c>
      <c r="G311" s="149">
        <f>21846.4+4500.9-1950.4+2310.4+7124.3</f>
        <v>33831.600000000006</v>
      </c>
      <c r="H311" s="149"/>
      <c r="J311" s="417"/>
    </row>
    <row r="312" spans="1:10" s="400" customFormat="1" ht="52.5" customHeight="1">
      <c r="A312" s="54" t="s">
        <v>210</v>
      </c>
      <c r="B312" s="18" t="s">
        <v>392</v>
      </c>
      <c r="C312" s="18" t="s">
        <v>146</v>
      </c>
      <c r="D312" s="18" t="s">
        <v>869</v>
      </c>
      <c r="E312" s="18" t="s">
        <v>211</v>
      </c>
      <c r="F312" s="149">
        <f>G312+H312</f>
        <v>80</v>
      </c>
      <c r="G312" s="149">
        <f>G313</f>
        <v>80</v>
      </c>
      <c r="H312" s="149">
        <f>H313</f>
        <v>0</v>
      </c>
      <c r="J312" s="417"/>
    </row>
    <row r="313" spans="1:10" s="400" customFormat="1" ht="30.75" customHeight="1">
      <c r="A313" s="54" t="s">
        <v>872</v>
      </c>
      <c r="B313" s="18" t="s">
        <v>392</v>
      </c>
      <c r="C313" s="18" t="s">
        <v>146</v>
      </c>
      <c r="D313" s="18" t="s">
        <v>869</v>
      </c>
      <c r="E313" s="18" t="s">
        <v>287</v>
      </c>
      <c r="F313" s="149">
        <f>G313+H313</f>
        <v>80</v>
      </c>
      <c r="G313" s="149">
        <v>80</v>
      </c>
      <c r="H313" s="149"/>
      <c r="J313" s="417"/>
    </row>
    <row r="314" spans="1:8" s="400" customFormat="1" ht="35.25" customHeight="1" hidden="1">
      <c r="A314" s="77" t="s">
        <v>578</v>
      </c>
      <c r="B314" s="135" t="s">
        <v>392</v>
      </c>
      <c r="C314" s="135" t="s">
        <v>146</v>
      </c>
      <c r="D314" s="135" t="s">
        <v>320</v>
      </c>
      <c r="E314" s="135" t="s">
        <v>409</v>
      </c>
      <c r="F314" s="289">
        <f>G314</f>
        <v>0</v>
      </c>
      <c r="G314" s="289">
        <f>G315</f>
        <v>0</v>
      </c>
      <c r="H314" s="289"/>
    </row>
    <row r="315" spans="1:8" s="400" customFormat="1" ht="30" customHeight="1" hidden="1">
      <c r="A315" s="54" t="s">
        <v>579</v>
      </c>
      <c r="B315" s="18" t="s">
        <v>392</v>
      </c>
      <c r="C315" s="18" t="s">
        <v>146</v>
      </c>
      <c r="D315" s="18" t="s">
        <v>580</v>
      </c>
      <c r="E315" s="18" t="s">
        <v>409</v>
      </c>
      <c r="F315" s="149">
        <f>G315</f>
        <v>0</v>
      </c>
      <c r="G315" s="149">
        <f>G316</f>
        <v>0</v>
      </c>
      <c r="H315" s="149"/>
    </row>
    <row r="316" spans="1:8" s="400" customFormat="1" ht="51" customHeight="1" hidden="1">
      <c r="A316" s="54" t="s">
        <v>210</v>
      </c>
      <c r="B316" s="18" t="s">
        <v>392</v>
      </c>
      <c r="C316" s="18" t="s">
        <v>146</v>
      </c>
      <c r="D316" s="18" t="s">
        <v>580</v>
      </c>
      <c r="E316" s="18" t="s">
        <v>211</v>
      </c>
      <c r="F316" s="149">
        <f>G316</f>
        <v>0</v>
      </c>
      <c r="G316" s="149">
        <f>G317</f>
        <v>0</v>
      </c>
      <c r="H316" s="149"/>
    </row>
    <row r="317" spans="1:8" s="400" customFormat="1" ht="22.5" customHeight="1" hidden="1">
      <c r="A317" s="54" t="s">
        <v>212</v>
      </c>
      <c r="B317" s="18" t="s">
        <v>392</v>
      </c>
      <c r="C317" s="18" t="s">
        <v>146</v>
      </c>
      <c r="D317" s="18" t="s">
        <v>580</v>
      </c>
      <c r="E317" s="18" t="s">
        <v>287</v>
      </c>
      <c r="F317" s="149">
        <f>G317</f>
        <v>0</v>
      </c>
      <c r="G317" s="149"/>
      <c r="H317" s="149"/>
    </row>
    <row r="318" spans="1:8" s="400" customFormat="1" ht="46.5" customHeight="1">
      <c r="A318" s="59" t="s">
        <v>473</v>
      </c>
      <c r="B318" s="55" t="s">
        <v>392</v>
      </c>
      <c r="C318" s="55" t="s">
        <v>146</v>
      </c>
      <c r="D318" s="55" t="s">
        <v>29</v>
      </c>
      <c r="E318" s="55" t="s">
        <v>409</v>
      </c>
      <c r="F318" s="152">
        <f>G318+H318</f>
        <v>38428.372</v>
      </c>
      <c r="G318" s="152">
        <v>0</v>
      </c>
      <c r="H318" s="152">
        <f>H319</f>
        <v>38428.372</v>
      </c>
    </row>
    <row r="319" spans="1:8" s="400" customFormat="1" ht="54.75" customHeight="1">
      <c r="A319" s="60" t="s">
        <v>258</v>
      </c>
      <c r="B319" s="18" t="s">
        <v>392</v>
      </c>
      <c r="C319" s="18" t="s">
        <v>146</v>
      </c>
      <c r="D319" s="18" t="s">
        <v>42</v>
      </c>
      <c r="E319" s="18" t="s">
        <v>409</v>
      </c>
      <c r="F319" s="149">
        <f>G319+H319</f>
        <v>38428.372</v>
      </c>
      <c r="G319" s="149">
        <v>0</v>
      </c>
      <c r="H319" s="149">
        <f>H320</f>
        <v>38428.372</v>
      </c>
    </row>
    <row r="320" spans="1:8" s="403" customFormat="1" ht="81" customHeight="1">
      <c r="A320" s="59" t="s">
        <v>396</v>
      </c>
      <c r="B320" s="55" t="s">
        <v>392</v>
      </c>
      <c r="C320" s="454" t="s">
        <v>146</v>
      </c>
      <c r="D320" s="55" t="s">
        <v>46</v>
      </c>
      <c r="E320" s="55" t="s">
        <v>409</v>
      </c>
      <c r="F320" s="152">
        <f t="shared" si="6"/>
        <v>38428.372</v>
      </c>
      <c r="G320" s="152">
        <f>G321</f>
        <v>0</v>
      </c>
      <c r="H320" s="152">
        <f>H321</f>
        <v>38428.372</v>
      </c>
    </row>
    <row r="321" spans="1:8" s="392" customFormat="1" ht="51" customHeight="1">
      <c r="A321" s="54" t="s">
        <v>210</v>
      </c>
      <c r="B321" s="18" t="s">
        <v>392</v>
      </c>
      <c r="C321" s="18" t="s">
        <v>146</v>
      </c>
      <c r="D321" s="18" t="s">
        <v>46</v>
      </c>
      <c r="E321" s="18" t="s">
        <v>211</v>
      </c>
      <c r="F321" s="149">
        <f t="shared" si="6"/>
        <v>38428.372</v>
      </c>
      <c r="G321" s="149">
        <v>0</v>
      </c>
      <c r="H321" s="149">
        <f>H322</f>
        <v>38428.372</v>
      </c>
    </row>
    <row r="322" spans="1:8" s="392" customFormat="1" ht="18.75" customHeight="1">
      <c r="A322" s="54" t="s">
        <v>212</v>
      </c>
      <c r="B322" s="18" t="s">
        <v>392</v>
      </c>
      <c r="C322" s="18" t="s">
        <v>146</v>
      </c>
      <c r="D322" s="18" t="s">
        <v>46</v>
      </c>
      <c r="E322" s="18" t="s">
        <v>287</v>
      </c>
      <c r="F322" s="149">
        <f>G322+H322</f>
        <v>38428.372</v>
      </c>
      <c r="G322" s="149">
        <v>0</v>
      </c>
      <c r="H322" s="149">
        <v>38428.372</v>
      </c>
    </row>
    <row r="323" spans="1:8" s="392" customFormat="1" ht="53.25" customHeight="1" hidden="1">
      <c r="A323" s="337" t="s">
        <v>864</v>
      </c>
      <c r="B323" s="18" t="s">
        <v>392</v>
      </c>
      <c r="C323" s="18" t="s">
        <v>146</v>
      </c>
      <c r="D323" s="123" t="s">
        <v>11</v>
      </c>
      <c r="E323" s="123" t="s">
        <v>409</v>
      </c>
      <c r="F323" s="287">
        <f>G323+H323</f>
        <v>0</v>
      </c>
      <c r="G323" s="287">
        <f>G324</f>
        <v>0</v>
      </c>
      <c r="H323" s="287">
        <f>H324</f>
        <v>0</v>
      </c>
    </row>
    <row r="324" spans="1:8" s="392" customFormat="1" ht="61.5" customHeight="1" hidden="1">
      <c r="A324" s="54" t="s">
        <v>863</v>
      </c>
      <c r="B324" s="18" t="s">
        <v>392</v>
      </c>
      <c r="C324" s="18" t="s">
        <v>146</v>
      </c>
      <c r="D324" s="389" t="s">
        <v>11</v>
      </c>
      <c r="E324" s="18" t="s">
        <v>211</v>
      </c>
      <c r="F324" s="149">
        <f>F326</f>
        <v>0</v>
      </c>
      <c r="G324" s="149">
        <f>G326</f>
        <v>0</v>
      </c>
      <c r="H324" s="149">
        <f>H326</f>
        <v>0</v>
      </c>
    </row>
    <row r="325" spans="1:8" s="392" customFormat="1" ht="27.75" customHeight="1" hidden="1">
      <c r="A325" s="54" t="s">
        <v>210</v>
      </c>
      <c r="B325" s="18" t="s">
        <v>392</v>
      </c>
      <c r="C325" s="18" t="s">
        <v>146</v>
      </c>
      <c r="D325" s="389" t="s">
        <v>11</v>
      </c>
      <c r="E325" s="18" t="s">
        <v>211</v>
      </c>
      <c r="F325" s="149"/>
      <c r="G325" s="149"/>
      <c r="H325" s="149"/>
    </row>
    <row r="326" spans="1:8" s="392" customFormat="1" ht="18.75" customHeight="1" hidden="1">
      <c r="A326" s="54" t="s">
        <v>212</v>
      </c>
      <c r="B326" s="18" t="s">
        <v>392</v>
      </c>
      <c r="C326" s="18" t="s">
        <v>146</v>
      </c>
      <c r="D326" s="389" t="s">
        <v>11</v>
      </c>
      <c r="E326" s="18" t="s">
        <v>287</v>
      </c>
      <c r="F326" s="149">
        <f>G326+H326</f>
        <v>0</v>
      </c>
      <c r="G326" s="149"/>
      <c r="H326" s="149">
        <v>0</v>
      </c>
    </row>
    <row r="327" spans="1:8" s="392" customFormat="1" ht="36.75" customHeight="1">
      <c r="A327" s="54" t="s">
        <v>149</v>
      </c>
      <c r="B327" s="18" t="s">
        <v>392</v>
      </c>
      <c r="C327" s="18" t="s">
        <v>146</v>
      </c>
      <c r="D327" s="18" t="s">
        <v>10</v>
      </c>
      <c r="E327" s="18" t="s">
        <v>409</v>
      </c>
      <c r="F327" s="149">
        <f>G327</f>
        <v>900</v>
      </c>
      <c r="G327" s="149">
        <f>G328</f>
        <v>900</v>
      </c>
      <c r="H327" s="149"/>
    </row>
    <row r="328" spans="1:8" s="392" customFormat="1" ht="30.75" customHeight="1">
      <c r="A328" s="54" t="s">
        <v>150</v>
      </c>
      <c r="B328" s="18" t="s">
        <v>392</v>
      </c>
      <c r="C328" s="18" t="s">
        <v>146</v>
      </c>
      <c r="D328" s="18" t="s">
        <v>11</v>
      </c>
      <c r="E328" s="18" t="s">
        <v>409</v>
      </c>
      <c r="F328" s="149">
        <f>G328</f>
        <v>900</v>
      </c>
      <c r="G328" s="149">
        <f>G329</f>
        <v>900</v>
      </c>
      <c r="H328" s="149"/>
    </row>
    <row r="329" spans="1:8" s="392" customFormat="1" ht="36.75" customHeight="1">
      <c r="A329" s="338" t="s">
        <v>639</v>
      </c>
      <c r="B329" s="18" t="s">
        <v>392</v>
      </c>
      <c r="C329" s="18" t="s">
        <v>146</v>
      </c>
      <c r="D329" s="18" t="s">
        <v>580</v>
      </c>
      <c r="E329" s="18" t="s">
        <v>409</v>
      </c>
      <c r="F329" s="149">
        <f>G329+H329</f>
        <v>900</v>
      </c>
      <c r="G329" s="336">
        <f>G330</f>
        <v>900</v>
      </c>
      <c r="H329" s="149"/>
    </row>
    <row r="330" spans="1:8" s="392" customFormat="1" ht="30" customHeight="1">
      <c r="A330" s="54" t="s">
        <v>210</v>
      </c>
      <c r="B330" s="18" t="s">
        <v>392</v>
      </c>
      <c r="C330" s="18" t="s">
        <v>146</v>
      </c>
      <c r="D330" s="18" t="s">
        <v>580</v>
      </c>
      <c r="E330" s="18" t="s">
        <v>211</v>
      </c>
      <c r="F330" s="149">
        <f>G330+H330</f>
        <v>900</v>
      </c>
      <c r="G330" s="336">
        <f>G331</f>
        <v>900</v>
      </c>
      <c r="H330" s="149"/>
    </row>
    <row r="331" spans="1:8" s="392" customFormat="1" ht="18.75" customHeight="1">
      <c r="A331" s="54" t="s">
        <v>212</v>
      </c>
      <c r="B331" s="18" t="s">
        <v>392</v>
      </c>
      <c r="C331" s="18" t="s">
        <v>146</v>
      </c>
      <c r="D331" s="18" t="s">
        <v>580</v>
      </c>
      <c r="E331" s="18" t="s">
        <v>287</v>
      </c>
      <c r="F331" s="149">
        <f>G331+H331</f>
        <v>900</v>
      </c>
      <c r="G331" s="336">
        <v>900</v>
      </c>
      <c r="H331" s="149"/>
    </row>
    <row r="332" spans="1:11" s="400" customFormat="1" ht="17.25" customHeight="1">
      <c r="A332" s="153" t="s">
        <v>445</v>
      </c>
      <c r="B332" s="154" t="s">
        <v>392</v>
      </c>
      <c r="C332" s="154" t="s">
        <v>148</v>
      </c>
      <c r="D332" s="154" t="s">
        <v>320</v>
      </c>
      <c r="E332" s="154" t="s">
        <v>409</v>
      </c>
      <c r="F332" s="288">
        <f>G332+H332</f>
        <v>275851.16704</v>
      </c>
      <c r="G332" s="288">
        <f>G333+G379</f>
        <v>87579.94403999999</v>
      </c>
      <c r="H332" s="288">
        <f>H333+H366+H376</f>
        <v>188271.223</v>
      </c>
      <c r="K332" s="417"/>
    </row>
    <row r="333" spans="1:8" s="405" customFormat="1" ht="48" customHeight="1">
      <c r="A333" s="59" t="s">
        <v>473</v>
      </c>
      <c r="B333" s="55" t="s">
        <v>392</v>
      </c>
      <c r="C333" s="55" t="s">
        <v>148</v>
      </c>
      <c r="D333" s="55" t="s">
        <v>29</v>
      </c>
      <c r="E333" s="55" t="s">
        <v>409</v>
      </c>
      <c r="F333" s="152">
        <f t="shared" si="6"/>
        <v>87579.94403999999</v>
      </c>
      <c r="G333" s="152">
        <f>G334+G350+G357</f>
        <v>87579.94403999999</v>
      </c>
      <c r="H333" s="152">
        <f>H334+H338+H350+H354+H357</f>
        <v>0</v>
      </c>
    </row>
    <row r="334" spans="1:8" s="392" customFormat="1" ht="41.25" customHeight="1">
      <c r="A334" s="60" t="s">
        <v>477</v>
      </c>
      <c r="B334" s="18" t="s">
        <v>392</v>
      </c>
      <c r="C334" s="18" t="s">
        <v>148</v>
      </c>
      <c r="D334" s="18" t="s">
        <v>47</v>
      </c>
      <c r="E334" s="18" t="s">
        <v>409</v>
      </c>
      <c r="F334" s="149">
        <f t="shared" si="6"/>
        <v>86010.94403999999</v>
      </c>
      <c r="G334" s="149">
        <f>G335+G338+G347+G341+G344</f>
        <v>86010.94403999999</v>
      </c>
      <c r="H334" s="149">
        <f>H335</f>
        <v>0</v>
      </c>
    </row>
    <row r="335" spans="1:8" s="392" customFormat="1" ht="34.5" customHeight="1">
      <c r="A335" s="54" t="s">
        <v>254</v>
      </c>
      <c r="B335" s="18" t="s">
        <v>392</v>
      </c>
      <c r="C335" s="18" t="s">
        <v>148</v>
      </c>
      <c r="D335" s="18" t="s">
        <v>48</v>
      </c>
      <c r="E335" s="18" t="s">
        <v>409</v>
      </c>
      <c r="F335" s="149">
        <f t="shared" si="6"/>
        <v>11233.487</v>
      </c>
      <c r="G335" s="149">
        <f>G336</f>
        <v>11233.487</v>
      </c>
      <c r="H335" s="149">
        <f>H337</f>
        <v>0</v>
      </c>
    </row>
    <row r="336" spans="1:8" s="392" customFormat="1" ht="50.25" customHeight="1">
      <c r="A336" s="54" t="s">
        <v>210</v>
      </c>
      <c r="B336" s="18" t="s">
        <v>392</v>
      </c>
      <c r="C336" s="18" t="s">
        <v>148</v>
      </c>
      <c r="D336" s="18" t="s">
        <v>49</v>
      </c>
      <c r="E336" s="18" t="s">
        <v>211</v>
      </c>
      <c r="F336" s="149">
        <f t="shared" si="6"/>
        <v>11233.487</v>
      </c>
      <c r="G336" s="149">
        <f>G337</f>
        <v>11233.487</v>
      </c>
      <c r="H336" s="149"/>
    </row>
    <row r="337" spans="1:8" s="392" customFormat="1" ht="19.5" customHeight="1">
      <c r="A337" s="54" t="s">
        <v>212</v>
      </c>
      <c r="B337" s="18" t="s">
        <v>392</v>
      </c>
      <c r="C337" s="18" t="s">
        <v>148</v>
      </c>
      <c r="D337" s="18" t="s">
        <v>49</v>
      </c>
      <c r="E337" s="18" t="s">
        <v>287</v>
      </c>
      <c r="F337" s="149">
        <f t="shared" si="6"/>
        <v>11233.487</v>
      </c>
      <c r="G337" s="149">
        <f>700+100+393.313+48.5+210+10268.72-487.046</f>
        <v>11233.487</v>
      </c>
      <c r="H337" s="149"/>
    </row>
    <row r="338" spans="1:8" s="392" customFormat="1" ht="95.25" customHeight="1">
      <c r="A338" s="54" t="s">
        <v>931</v>
      </c>
      <c r="B338" s="18" t="s">
        <v>392</v>
      </c>
      <c r="C338" s="18" t="s">
        <v>148</v>
      </c>
      <c r="D338" s="18" t="s">
        <v>48</v>
      </c>
      <c r="E338" s="18" t="s">
        <v>409</v>
      </c>
      <c r="F338" s="149">
        <f t="shared" si="6"/>
        <v>74225.97776</v>
      </c>
      <c r="G338" s="149">
        <f>G339</f>
        <v>74225.97776</v>
      </c>
      <c r="H338" s="149">
        <f>SUM(H339:H340)</f>
        <v>0</v>
      </c>
    </row>
    <row r="339" spans="1:8" s="400" customFormat="1" ht="49.5" customHeight="1">
      <c r="A339" s="54" t="s">
        <v>210</v>
      </c>
      <c r="B339" s="18" t="s">
        <v>392</v>
      </c>
      <c r="C339" s="18" t="s">
        <v>148</v>
      </c>
      <c r="D339" s="18" t="s">
        <v>50</v>
      </c>
      <c r="E339" s="18" t="s">
        <v>211</v>
      </c>
      <c r="F339" s="149">
        <f t="shared" si="6"/>
        <v>74225.97776</v>
      </c>
      <c r="G339" s="149">
        <f>G340</f>
        <v>74225.97776</v>
      </c>
      <c r="H339" s="149"/>
    </row>
    <row r="340" spans="1:8" s="400" customFormat="1" ht="19.5" customHeight="1">
      <c r="A340" s="54" t="s">
        <v>212</v>
      </c>
      <c r="B340" s="18" t="s">
        <v>392</v>
      </c>
      <c r="C340" s="18" t="s">
        <v>148</v>
      </c>
      <c r="D340" s="18" t="s">
        <v>50</v>
      </c>
      <c r="E340" s="18" t="s">
        <v>287</v>
      </c>
      <c r="F340" s="149">
        <f t="shared" si="6"/>
        <v>74225.97776</v>
      </c>
      <c r="G340" s="149">
        <f>53288.5+0.03321+7299.18953-2500+30.30302-287.5+4678.14+625.912+11091.4</f>
        <v>74225.97776</v>
      </c>
      <c r="H340" s="149"/>
    </row>
    <row r="341" spans="1:8" s="400" customFormat="1" ht="84" customHeight="1">
      <c r="A341" s="54" t="s">
        <v>697</v>
      </c>
      <c r="B341" s="18" t="s">
        <v>392</v>
      </c>
      <c r="C341" s="18" t="s">
        <v>148</v>
      </c>
      <c r="D341" s="18" t="s">
        <v>688</v>
      </c>
      <c r="E341" s="18" t="s">
        <v>409</v>
      </c>
      <c r="F341" s="149">
        <f>G341</f>
        <v>107</v>
      </c>
      <c r="G341" s="149">
        <f>G342</f>
        <v>107</v>
      </c>
      <c r="H341" s="149"/>
    </row>
    <row r="342" spans="1:8" s="400" customFormat="1" ht="52.5" customHeight="1">
      <c r="A342" s="54" t="s">
        <v>210</v>
      </c>
      <c r="B342" s="18" t="s">
        <v>392</v>
      </c>
      <c r="C342" s="18" t="s">
        <v>148</v>
      </c>
      <c r="D342" s="18" t="s">
        <v>688</v>
      </c>
      <c r="E342" s="18" t="s">
        <v>211</v>
      </c>
      <c r="F342" s="149">
        <f>G342</f>
        <v>107</v>
      </c>
      <c r="G342" s="149">
        <f>G343</f>
        <v>107</v>
      </c>
      <c r="H342" s="149"/>
    </row>
    <row r="343" spans="1:8" s="400" customFormat="1" ht="19.5" customHeight="1">
      <c r="A343" s="54" t="s">
        <v>212</v>
      </c>
      <c r="B343" s="18" t="s">
        <v>392</v>
      </c>
      <c r="C343" s="18" t="s">
        <v>148</v>
      </c>
      <c r="D343" s="18" t="s">
        <v>688</v>
      </c>
      <c r="E343" s="18" t="s">
        <v>287</v>
      </c>
      <c r="F343" s="149">
        <f>G343</f>
        <v>107</v>
      </c>
      <c r="G343" s="149">
        <f>76+100-69</f>
        <v>107</v>
      </c>
      <c r="H343" s="149"/>
    </row>
    <row r="344" spans="1:8" s="400" customFormat="1" ht="50.25" customHeight="1">
      <c r="A344" s="54" t="s">
        <v>873</v>
      </c>
      <c r="B344" s="18" t="s">
        <v>392</v>
      </c>
      <c r="C344" s="18" t="s">
        <v>148</v>
      </c>
      <c r="D344" s="18" t="s">
        <v>867</v>
      </c>
      <c r="E344" s="18" t="s">
        <v>409</v>
      </c>
      <c r="F344" s="149">
        <f>G344+H344</f>
        <v>372</v>
      </c>
      <c r="G344" s="149">
        <f>G345</f>
        <v>372</v>
      </c>
      <c r="H344" s="149">
        <f>H345</f>
        <v>0</v>
      </c>
    </row>
    <row r="345" spans="1:8" s="400" customFormat="1" ht="48.75" customHeight="1">
      <c r="A345" s="54" t="s">
        <v>210</v>
      </c>
      <c r="B345" s="18" t="s">
        <v>392</v>
      </c>
      <c r="C345" s="18" t="s">
        <v>148</v>
      </c>
      <c r="D345" s="18" t="s">
        <v>867</v>
      </c>
      <c r="E345" s="18" t="s">
        <v>211</v>
      </c>
      <c r="F345" s="149">
        <f>G345+H345</f>
        <v>372</v>
      </c>
      <c r="G345" s="149">
        <f>G346</f>
        <v>372</v>
      </c>
      <c r="H345" s="149">
        <f>H346</f>
        <v>0</v>
      </c>
    </row>
    <row r="346" spans="1:8" s="400" customFormat="1" ht="19.5" customHeight="1">
      <c r="A346" s="54" t="s">
        <v>212</v>
      </c>
      <c r="B346" s="18" t="s">
        <v>392</v>
      </c>
      <c r="C346" s="18" t="s">
        <v>148</v>
      </c>
      <c r="D346" s="18" t="s">
        <v>867</v>
      </c>
      <c r="E346" s="18" t="s">
        <v>287</v>
      </c>
      <c r="F346" s="149">
        <f>G346+H346</f>
        <v>372</v>
      </c>
      <c r="G346" s="149">
        <v>372</v>
      </c>
      <c r="H346" s="149"/>
    </row>
    <row r="347" spans="1:8" s="400" customFormat="1" ht="30" customHeight="1">
      <c r="A347" s="54" t="s">
        <v>808</v>
      </c>
      <c r="B347" s="18" t="s">
        <v>392</v>
      </c>
      <c r="C347" s="18" t="s">
        <v>148</v>
      </c>
      <c r="D347" s="4" t="s">
        <v>809</v>
      </c>
      <c r="E347" s="18" t="s">
        <v>409</v>
      </c>
      <c r="F347" s="149">
        <f t="shared" si="6"/>
        <v>72.47928</v>
      </c>
      <c r="G347" s="149">
        <f>G348</f>
        <v>72.47928</v>
      </c>
      <c r="H347" s="149">
        <f>H348</f>
        <v>0</v>
      </c>
    </row>
    <row r="348" spans="1:8" s="400" customFormat="1" ht="51" customHeight="1">
      <c r="A348" s="62" t="s">
        <v>210</v>
      </c>
      <c r="B348" s="18" t="s">
        <v>392</v>
      </c>
      <c r="C348" s="18" t="s">
        <v>148</v>
      </c>
      <c r="D348" s="4" t="s">
        <v>809</v>
      </c>
      <c r="E348" s="17" t="s">
        <v>211</v>
      </c>
      <c r="F348" s="149">
        <f t="shared" si="6"/>
        <v>72.47928</v>
      </c>
      <c r="G348" s="149">
        <f>G349</f>
        <v>72.47928</v>
      </c>
      <c r="H348" s="149">
        <f>H349</f>
        <v>0</v>
      </c>
    </row>
    <row r="349" spans="1:8" s="400" customFormat="1" ht="25.5" customHeight="1">
      <c r="A349" s="54" t="s">
        <v>212</v>
      </c>
      <c r="B349" s="18" t="s">
        <v>392</v>
      </c>
      <c r="C349" s="18" t="s">
        <v>148</v>
      </c>
      <c r="D349" s="4" t="s">
        <v>809</v>
      </c>
      <c r="E349" s="18" t="s">
        <v>287</v>
      </c>
      <c r="F349" s="149">
        <f t="shared" si="6"/>
        <v>72.47928</v>
      </c>
      <c r="G349" s="149">
        <f>50+68.47928-46</f>
        <v>72.47928</v>
      </c>
      <c r="H349" s="336">
        <v>0</v>
      </c>
    </row>
    <row r="350" spans="1:8" s="400" customFormat="1" ht="33" customHeight="1">
      <c r="A350" s="60" t="s">
        <v>259</v>
      </c>
      <c r="B350" s="18" t="s">
        <v>392</v>
      </c>
      <c r="C350" s="18" t="s">
        <v>148</v>
      </c>
      <c r="D350" s="18" t="s">
        <v>51</v>
      </c>
      <c r="E350" s="18" t="s">
        <v>409</v>
      </c>
      <c r="F350" s="149">
        <f t="shared" si="6"/>
        <v>1569</v>
      </c>
      <c r="G350" s="149">
        <f>G351+G354</f>
        <v>1569</v>
      </c>
      <c r="H350" s="149">
        <f>H351+H354</f>
        <v>0</v>
      </c>
    </row>
    <row r="351" spans="1:8" s="400" customFormat="1" ht="32.25" customHeight="1">
      <c r="A351" s="59" t="s">
        <v>260</v>
      </c>
      <c r="B351" s="18" t="s">
        <v>392</v>
      </c>
      <c r="C351" s="18" t="s">
        <v>148</v>
      </c>
      <c r="D351" s="18" t="s">
        <v>52</v>
      </c>
      <c r="E351" s="18" t="s">
        <v>409</v>
      </c>
      <c r="F351" s="149">
        <f aca="true" t="shared" si="9" ref="F351:F490">G351+H351</f>
        <v>250</v>
      </c>
      <c r="G351" s="149">
        <f>G352</f>
        <v>250</v>
      </c>
      <c r="H351" s="149">
        <f>H353</f>
        <v>0</v>
      </c>
    </row>
    <row r="352" spans="1:8" s="400" customFormat="1" ht="48.75" customHeight="1">
      <c r="A352" s="54" t="s">
        <v>210</v>
      </c>
      <c r="B352" s="18" t="s">
        <v>392</v>
      </c>
      <c r="C352" s="18" t="s">
        <v>148</v>
      </c>
      <c r="D352" s="18" t="s">
        <v>53</v>
      </c>
      <c r="E352" s="18" t="s">
        <v>211</v>
      </c>
      <c r="F352" s="149">
        <f t="shared" si="9"/>
        <v>250</v>
      </c>
      <c r="G352" s="149">
        <f>G353</f>
        <v>250</v>
      </c>
      <c r="H352" s="149"/>
    </row>
    <row r="353" spans="1:8" s="400" customFormat="1" ht="15.75" customHeight="1">
      <c r="A353" s="54" t="s">
        <v>212</v>
      </c>
      <c r="B353" s="18" t="s">
        <v>392</v>
      </c>
      <c r="C353" s="18" t="s">
        <v>148</v>
      </c>
      <c r="D353" s="18" t="s">
        <v>53</v>
      </c>
      <c r="E353" s="18" t="s">
        <v>287</v>
      </c>
      <c r="F353" s="149">
        <f t="shared" si="9"/>
        <v>250</v>
      </c>
      <c r="G353" s="149">
        <v>250</v>
      </c>
      <c r="H353" s="149"/>
    </row>
    <row r="354" spans="1:8" s="400" customFormat="1" ht="33" customHeight="1">
      <c r="A354" s="59" t="s">
        <v>255</v>
      </c>
      <c r="B354" s="18" t="s">
        <v>392</v>
      </c>
      <c r="C354" s="18" t="s">
        <v>148</v>
      </c>
      <c r="D354" s="18" t="s">
        <v>52</v>
      </c>
      <c r="E354" s="18" t="s">
        <v>409</v>
      </c>
      <c r="F354" s="149">
        <f t="shared" si="9"/>
        <v>1319</v>
      </c>
      <c r="G354" s="149">
        <f>G355</f>
        <v>1319</v>
      </c>
      <c r="H354" s="149">
        <f>H356</f>
        <v>0</v>
      </c>
    </row>
    <row r="355" spans="1:8" s="400" customFormat="1" ht="50.25" customHeight="1">
      <c r="A355" s="54" t="s">
        <v>210</v>
      </c>
      <c r="B355" s="18" t="s">
        <v>392</v>
      </c>
      <c r="C355" s="18" t="s">
        <v>148</v>
      </c>
      <c r="D355" s="18" t="s">
        <v>54</v>
      </c>
      <c r="E355" s="18" t="s">
        <v>211</v>
      </c>
      <c r="F355" s="149">
        <f t="shared" si="9"/>
        <v>1319</v>
      </c>
      <c r="G355" s="149">
        <f>G356</f>
        <v>1319</v>
      </c>
      <c r="H355" s="149"/>
    </row>
    <row r="356" spans="1:8" s="400" customFormat="1" ht="21.75" customHeight="1">
      <c r="A356" s="54" t="s">
        <v>212</v>
      </c>
      <c r="B356" s="18" t="s">
        <v>392</v>
      </c>
      <c r="C356" s="18" t="s">
        <v>148</v>
      </c>
      <c r="D356" s="18" t="s">
        <v>54</v>
      </c>
      <c r="E356" s="18" t="s">
        <v>287</v>
      </c>
      <c r="F356" s="149">
        <f t="shared" si="9"/>
        <v>1319</v>
      </c>
      <c r="G356" s="149">
        <f>750+500+69</f>
        <v>1319</v>
      </c>
      <c r="H356" s="149"/>
    </row>
    <row r="357" spans="1:8" s="400" customFormat="1" ht="33" customHeight="1" hidden="1">
      <c r="A357" s="60" t="s">
        <v>289</v>
      </c>
      <c r="B357" s="18" t="s">
        <v>392</v>
      </c>
      <c r="C357" s="18" t="s">
        <v>148</v>
      </c>
      <c r="D357" s="18" t="s">
        <v>55</v>
      </c>
      <c r="E357" s="18" t="s">
        <v>409</v>
      </c>
      <c r="F357" s="149">
        <f t="shared" si="9"/>
        <v>0</v>
      </c>
      <c r="G357" s="149">
        <f>G358</f>
        <v>0</v>
      </c>
      <c r="H357" s="149">
        <f>H358+H361+H363</f>
        <v>0</v>
      </c>
    </row>
    <row r="358" spans="1:8" s="400" customFormat="1" ht="33.75" customHeight="1" hidden="1">
      <c r="A358" s="54" t="s">
        <v>131</v>
      </c>
      <c r="B358" s="18" t="s">
        <v>392</v>
      </c>
      <c r="C358" s="18" t="s">
        <v>148</v>
      </c>
      <c r="D358" s="18" t="s">
        <v>56</v>
      </c>
      <c r="E358" s="18" t="s">
        <v>409</v>
      </c>
      <c r="F358" s="149">
        <f t="shared" si="9"/>
        <v>0</v>
      </c>
      <c r="G358" s="149">
        <f>G359</f>
        <v>0</v>
      </c>
      <c r="H358" s="149"/>
    </row>
    <row r="359" spans="1:8" s="400" customFormat="1" ht="50.25" customHeight="1" hidden="1">
      <c r="A359" s="54" t="s">
        <v>210</v>
      </c>
      <c r="B359" s="18" t="s">
        <v>392</v>
      </c>
      <c r="C359" s="18" t="s">
        <v>148</v>
      </c>
      <c r="D359" s="18" t="s">
        <v>56</v>
      </c>
      <c r="E359" s="18" t="s">
        <v>211</v>
      </c>
      <c r="F359" s="149">
        <f t="shared" si="9"/>
        <v>0</v>
      </c>
      <c r="G359" s="149">
        <f>G360+G361+G362+G363</f>
        <v>0</v>
      </c>
      <c r="H359" s="149"/>
    </row>
    <row r="360" spans="1:8" s="400" customFormat="1" ht="35.25" customHeight="1" hidden="1">
      <c r="A360" s="54" t="s">
        <v>126</v>
      </c>
      <c r="B360" s="18" t="s">
        <v>392</v>
      </c>
      <c r="C360" s="18" t="s">
        <v>148</v>
      </c>
      <c r="D360" s="18" t="s">
        <v>57</v>
      </c>
      <c r="E360" s="18" t="s">
        <v>287</v>
      </c>
      <c r="F360" s="149">
        <f t="shared" si="9"/>
        <v>0</v>
      </c>
      <c r="G360" s="149"/>
      <c r="H360" s="149"/>
    </row>
    <row r="361" spans="1:8" ht="31.5" hidden="1">
      <c r="A361" s="54" t="s">
        <v>127</v>
      </c>
      <c r="B361" s="18" t="s">
        <v>392</v>
      </c>
      <c r="C361" s="18" t="s">
        <v>148</v>
      </c>
      <c r="D361" s="18" t="s">
        <v>58</v>
      </c>
      <c r="E361" s="18" t="s">
        <v>287</v>
      </c>
      <c r="F361" s="149">
        <f t="shared" si="9"/>
        <v>0</v>
      </c>
      <c r="G361" s="149"/>
      <c r="H361" s="418"/>
    </row>
    <row r="362" spans="1:8" s="400" customFormat="1" ht="31.5" customHeight="1" hidden="1">
      <c r="A362" s="54" t="s">
        <v>213</v>
      </c>
      <c r="B362" s="18" t="s">
        <v>392</v>
      </c>
      <c r="C362" s="18" t="s">
        <v>148</v>
      </c>
      <c r="D362" s="18" t="s">
        <v>59</v>
      </c>
      <c r="E362" s="18" t="s">
        <v>287</v>
      </c>
      <c r="F362" s="149">
        <f t="shared" si="9"/>
        <v>0</v>
      </c>
      <c r="G362" s="149"/>
      <c r="H362" s="149"/>
    </row>
    <row r="363" spans="1:8" s="400" customFormat="1" ht="34.5" customHeight="1" hidden="1">
      <c r="A363" s="54" t="s">
        <v>214</v>
      </c>
      <c r="B363" s="18" t="s">
        <v>392</v>
      </c>
      <c r="C363" s="18" t="s">
        <v>148</v>
      </c>
      <c r="D363" s="18" t="s">
        <v>60</v>
      </c>
      <c r="E363" s="18" t="s">
        <v>287</v>
      </c>
      <c r="F363" s="149">
        <f t="shared" si="9"/>
        <v>0</v>
      </c>
      <c r="G363" s="149"/>
      <c r="H363" s="149"/>
    </row>
    <row r="364" spans="1:8" s="400" customFormat="1" ht="48.75" customHeight="1">
      <c r="A364" s="59" t="s">
        <v>474</v>
      </c>
      <c r="B364" s="55" t="s">
        <v>392</v>
      </c>
      <c r="C364" s="55" t="s">
        <v>148</v>
      </c>
      <c r="D364" s="55" t="s">
        <v>29</v>
      </c>
      <c r="E364" s="55" t="s">
        <v>409</v>
      </c>
      <c r="F364" s="149">
        <f t="shared" si="9"/>
        <v>176220.223</v>
      </c>
      <c r="G364" s="149">
        <f>G365</f>
        <v>0</v>
      </c>
      <c r="H364" s="149">
        <f>H365</f>
        <v>176220.223</v>
      </c>
    </row>
    <row r="365" spans="1:8" s="400" customFormat="1" ht="32.25" customHeight="1">
      <c r="A365" s="60" t="s">
        <v>477</v>
      </c>
      <c r="B365" s="18" t="s">
        <v>392</v>
      </c>
      <c r="C365" s="18" t="s">
        <v>148</v>
      </c>
      <c r="D365" s="18" t="s">
        <v>47</v>
      </c>
      <c r="E365" s="18" t="s">
        <v>409</v>
      </c>
      <c r="F365" s="149">
        <f t="shared" si="9"/>
        <v>176220.223</v>
      </c>
      <c r="G365" s="149">
        <f>G366</f>
        <v>0</v>
      </c>
      <c r="H365" s="149">
        <f>H366</f>
        <v>176220.223</v>
      </c>
    </row>
    <row r="366" spans="1:8" s="403" customFormat="1" ht="16.5" customHeight="1">
      <c r="A366" s="59" t="s">
        <v>167</v>
      </c>
      <c r="B366" s="55" t="s">
        <v>392</v>
      </c>
      <c r="C366" s="55" t="s">
        <v>148</v>
      </c>
      <c r="D366" s="55" t="s">
        <v>29</v>
      </c>
      <c r="E366" s="55" t="s">
        <v>409</v>
      </c>
      <c r="F366" s="152">
        <f t="shared" si="9"/>
        <v>176220.223</v>
      </c>
      <c r="G366" s="152">
        <f>G367+G373</f>
        <v>0</v>
      </c>
      <c r="H366" s="152">
        <f>H367+H370+H373</f>
        <v>176220.223</v>
      </c>
    </row>
    <row r="367" spans="1:8" s="415" customFormat="1" ht="47.25" customHeight="1">
      <c r="A367" s="59" t="s">
        <v>584</v>
      </c>
      <c r="B367" s="55" t="s">
        <v>392</v>
      </c>
      <c r="C367" s="55" t="s">
        <v>148</v>
      </c>
      <c r="D367" s="55" t="s">
        <v>47</v>
      </c>
      <c r="E367" s="55" t="s">
        <v>409</v>
      </c>
      <c r="F367" s="152">
        <f t="shared" si="9"/>
        <v>7270.9</v>
      </c>
      <c r="G367" s="152">
        <f>G368</f>
        <v>0</v>
      </c>
      <c r="H367" s="152">
        <f>H368</f>
        <v>7270.9</v>
      </c>
    </row>
    <row r="368" spans="1:8" s="400" customFormat="1" ht="49.5" customHeight="1">
      <c r="A368" s="54" t="s">
        <v>210</v>
      </c>
      <c r="B368" s="18" t="s">
        <v>392</v>
      </c>
      <c r="C368" s="18" t="s">
        <v>148</v>
      </c>
      <c r="D368" s="18" t="s">
        <v>585</v>
      </c>
      <c r="E368" s="18" t="s">
        <v>211</v>
      </c>
      <c r="F368" s="149">
        <f t="shared" si="9"/>
        <v>7270.9</v>
      </c>
      <c r="G368" s="149"/>
      <c r="H368" s="149">
        <f>H369</f>
        <v>7270.9</v>
      </c>
    </row>
    <row r="369" spans="1:8" s="400" customFormat="1" ht="18" customHeight="1">
      <c r="A369" s="54" t="s">
        <v>212</v>
      </c>
      <c r="B369" s="18" t="s">
        <v>392</v>
      </c>
      <c r="C369" s="18" t="s">
        <v>148</v>
      </c>
      <c r="D369" s="18" t="s">
        <v>585</v>
      </c>
      <c r="E369" s="18" t="s">
        <v>287</v>
      </c>
      <c r="F369" s="149">
        <f t="shared" si="9"/>
        <v>7270.9</v>
      </c>
      <c r="G369" s="149"/>
      <c r="H369" s="149">
        <v>7270.9</v>
      </c>
    </row>
    <row r="370" spans="1:8" s="400" customFormat="1" ht="80.25" customHeight="1">
      <c r="A370" s="59" t="s">
        <v>791</v>
      </c>
      <c r="B370" s="55" t="s">
        <v>392</v>
      </c>
      <c r="C370" s="55" t="s">
        <v>148</v>
      </c>
      <c r="D370" s="55" t="s">
        <v>792</v>
      </c>
      <c r="E370" s="55" t="s">
        <v>409</v>
      </c>
      <c r="F370" s="152">
        <f>G370+H370</f>
        <v>10876.6</v>
      </c>
      <c r="G370" s="152">
        <v>0</v>
      </c>
      <c r="H370" s="152">
        <f>H371</f>
        <v>10876.6</v>
      </c>
    </row>
    <row r="371" spans="1:8" s="400" customFormat="1" ht="45" customHeight="1">
      <c r="A371" s="54" t="s">
        <v>210</v>
      </c>
      <c r="B371" s="18" t="s">
        <v>392</v>
      </c>
      <c r="C371" s="18" t="s">
        <v>148</v>
      </c>
      <c r="D371" s="18" t="s">
        <v>792</v>
      </c>
      <c r="E371" s="18" t="s">
        <v>211</v>
      </c>
      <c r="F371" s="149">
        <f>G371+H371</f>
        <v>10876.6</v>
      </c>
      <c r="G371" s="149"/>
      <c r="H371" s="149">
        <f>H372</f>
        <v>10876.6</v>
      </c>
    </row>
    <row r="372" spans="1:8" s="400" customFormat="1" ht="15" customHeight="1">
      <c r="A372" s="54" t="s">
        <v>212</v>
      </c>
      <c r="B372" s="18" t="s">
        <v>392</v>
      </c>
      <c r="C372" s="18" t="s">
        <v>148</v>
      </c>
      <c r="D372" s="18" t="s">
        <v>792</v>
      </c>
      <c r="E372" s="18" t="s">
        <v>287</v>
      </c>
      <c r="F372" s="149">
        <f>G372+H372</f>
        <v>10876.6</v>
      </c>
      <c r="G372" s="149"/>
      <c r="H372" s="149">
        <f>18147.5-7270.9</f>
        <v>10876.6</v>
      </c>
    </row>
    <row r="373" spans="1:8" s="415" customFormat="1" ht="80.25" customHeight="1">
      <c r="A373" s="59" t="s">
        <v>181</v>
      </c>
      <c r="B373" s="55" t="s">
        <v>392</v>
      </c>
      <c r="C373" s="55" t="s">
        <v>148</v>
      </c>
      <c r="D373" s="55" t="s">
        <v>47</v>
      </c>
      <c r="E373" s="55" t="s">
        <v>409</v>
      </c>
      <c r="F373" s="152">
        <f t="shared" si="9"/>
        <v>158072.723</v>
      </c>
      <c r="G373" s="152">
        <f>G374</f>
        <v>0</v>
      </c>
      <c r="H373" s="152">
        <f>H374</f>
        <v>158072.723</v>
      </c>
    </row>
    <row r="374" spans="1:8" s="400" customFormat="1" ht="48.75" customHeight="1">
      <c r="A374" s="62" t="s">
        <v>210</v>
      </c>
      <c r="B374" s="18" t="s">
        <v>392</v>
      </c>
      <c r="C374" s="18" t="s">
        <v>148</v>
      </c>
      <c r="D374" s="18" t="s">
        <v>61</v>
      </c>
      <c r="E374" s="17" t="s">
        <v>211</v>
      </c>
      <c r="F374" s="149">
        <f t="shared" si="9"/>
        <v>158072.723</v>
      </c>
      <c r="G374" s="149"/>
      <c r="H374" s="149">
        <f>H375</f>
        <v>158072.723</v>
      </c>
    </row>
    <row r="375" spans="1:8" s="400" customFormat="1" ht="17.25" customHeight="1">
      <c r="A375" s="54" t="s">
        <v>212</v>
      </c>
      <c r="B375" s="18" t="s">
        <v>392</v>
      </c>
      <c r="C375" s="18" t="s">
        <v>148</v>
      </c>
      <c r="D375" s="18" t="s">
        <v>61</v>
      </c>
      <c r="E375" s="18" t="s">
        <v>287</v>
      </c>
      <c r="F375" s="149">
        <f t="shared" si="9"/>
        <v>158072.723</v>
      </c>
      <c r="G375" s="149"/>
      <c r="H375" s="149">
        <f>161257.823-3185.1</f>
        <v>158072.723</v>
      </c>
    </row>
    <row r="376" spans="1:8" s="400" customFormat="1" ht="97.5" customHeight="1">
      <c r="A376" s="59" t="s">
        <v>785</v>
      </c>
      <c r="B376" s="55" t="s">
        <v>392</v>
      </c>
      <c r="C376" s="55" t="s">
        <v>148</v>
      </c>
      <c r="D376" s="55" t="s">
        <v>793</v>
      </c>
      <c r="E376" s="55" t="s">
        <v>409</v>
      </c>
      <c r="F376" s="152">
        <f aca="true" t="shared" si="10" ref="F376:F383">G376+H376</f>
        <v>12051</v>
      </c>
      <c r="G376" s="152">
        <v>0</v>
      </c>
      <c r="H376" s="152">
        <f>H377</f>
        <v>12051</v>
      </c>
    </row>
    <row r="377" spans="1:8" s="400" customFormat="1" ht="45.75" customHeight="1">
      <c r="A377" s="54" t="s">
        <v>210</v>
      </c>
      <c r="B377" s="18" t="s">
        <v>392</v>
      </c>
      <c r="C377" s="18" t="s">
        <v>148</v>
      </c>
      <c r="D377" s="18" t="s">
        <v>793</v>
      </c>
      <c r="E377" s="18" t="s">
        <v>211</v>
      </c>
      <c r="F377" s="149">
        <f t="shared" si="10"/>
        <v>12051</v>
      </c>
      <c r="G377" s="149"/>
      <c r="H377" s="149">
        <f>H378</f>
        <v>12051</v>
      </c>
    </row>
    <row r="378" spans="1:8" s="400" customFormat="1" ht="17.25" customHeight="1">
      <c r="A378" s="54" t="s">
        <v>212</v>
      </c>
      <c r="B378" s="18" t="s">
        <v>392</v>
      </c>
      <c r="C378" s="18" t="s">
        <v>148</v>
      </c>
      <c r="D378" s="18" t="s">
        <v>793</v>
      </c>
      <c r="E378" s="18" t="s">
        <v>287</v>
      </c>
      <c r="F378" s="149">
        <f t="shared" si="10"/>
        <v>12051</v>
      </c>
      <c r="G378" s="149"/>
      <c r="H378" s="149">
        <v>12051</v>
      </c>
    </row>
    <row r="379" spans="1:8" s="400" customFormat="1" ht="60" customHeight="1" hidden="1">
      <c r="A379" s="337" t="s">
        <v>865</v>
      </c>
      <c r="B379" s="18" t="s">
        <v>392</v>
      </c>
      <c r="C379" s="18" t="s">
        <v>148</v>
      </c>
      <c r="D379" s="551" t="s">
        <v>11</v>
      </c>
      <c r="E379" s="55" t="s">
        <v>409</v>
      </c>
      <c r="F379" s="287">
        <f t="shared" si="10"/>
        <v>0</v>
      </c>
      <c r="G379" s="287">
        <f>G380</f>
        <v>0</v>
      </c>
      <c r="H379" s="287">
        <f>H380</f>
        <v>0</v>
      </c>
    </row>
    <row r="380" spans="1:8" s="400" customFormat="1" ht="72" customHeight="1" hidden="1">
      <c r="A380" s="337" t="s">
        <v>863</v>
      </c>
      <c r="B380" s="18" t="s">
        <v>392</v>
      </c>
      <c r="C380" s="18" t="s">
        <v>148</v>
      </c>
      <c r="D380" s="551" t="s">
        <v>11</v>
      </c>
      <c r="E380" s="18" t="s">
        <v>211</v>
      </c>
      <c r="F380" s="287">
        <f t="shared" si="10"/>
        <v>0</v>
      </c>
      <c r="G380" s="287">
        <f>G381</f>
        <v>0</v>
      </c>
      <c r="H380" s="287">
        <f>H381</f>
        <v>0</v>
      </c>
    </row>
    <row r="381" spans="1:8" s="400" customFormat="1" ht="17.25" customHeight="1" hidden="1">
      <c r="A381" s="337" t="s">
        <v>212</v>
      </c>
      <c r="B381" s="18" t="s">
        <v>392</v>
      </c>
      <c r="C381" s="18" t="s">
        <v>148</v>
      </c>
      <c r="D381" s="551" t="s">
        <v>11</v>
      </c>
      <c r="E381" s="18" t="s">
        <v>287</v>
      </c>
      <c r="F381" s="287">
        <f t="shared" si="10"/>
        <v>0</v>
      </c>
      <c r="G381" s="287">
        <v>0</v>
      </c>
      <c r="H381" s="287"/>
    </row>
    <row r="382" spans="1:10" s="400" customFormat="1" ht="20.25" customHeight="1">
      <c r="A382" s="155" t="s">
        <v>586</v>
      </c>
      <c r="B382" s="156" t="s">
        <v>392</v>
      </c>
      <c r="C382" s="156" t="s">
        <v>153</v>
      </c>
      <c r="D382" s="156" t="s">
        <v>320</v>
      </c>
      <c r="E382" s="156" t="s">
        <v>409</v>
      </c>
      <c r="F382" s="295">
        <f t="shared" si="10"/>
        <v>33068.44499999999</v>
      </c>
      <c r="G382" s="295">
        <f>G383+G403</f>
        <v>33068.44499999999</v>
      </c>
      <c r="H382" s="295">
        <f>H383</f>
        <v>0</v>
      </c>
      <c r="J382" s="417"/>
    </row>
    <row r="383" spans="1:9" s="415" customFormat="1" ht="48.75" customHeight="1">
      <c r="A383" s="125" t="s">
        <v>474</v>
      </c>
      <c r="B383" s="157" t="s">
        <v>392</v>
      </c>
      <c r="C383" s="157" t="s">
        <v>153</v>
      </c>
      <c r="D383" s="157" t="s">
        <v>29</v>
      </c>
      <c r="E383" s="157" t="s">
        <v>409</v>
      </c>
      <c r="F383" s="296">
        <f t="shared" si="10"/>
        <v>32955.94499999999</v>
      </c>
      <c r="G383" s="296">
        <f>G384+G393</f>
        <v>32955.94499999999</v>
      </c>
      <c r="H383" s="296">
        <f>H393</f>
        <v>0</v>
      </c>
      <c r="I383" s="419"/>
    </row>
    <row r="384" spans="1:8" s="400" customFormat="1" ht="33.75" customHeight="1">
      <c r="A384" s="60" t="s">
        <v>289</v>
      </c>
      <c r="B384" s="18" t="s">
        <v>392</v>
      </c>
      <c r="C384" s="18" t="s">
        <v>153</v>
      </c>
      <c r="D384" s="18" t="s">
        <v>55</v>
      </c>
      <c r="E384" s="18" t="s">
        <v>409</v>
      </c>
      <c r="F384" s="149">
        <f t="shared" si="9"/>
        <v>32955.94499999999</v>
      </c>
      <c r="G384" s="149">
        <f>G385</f>
        <v>32955.94499999999</v>
      </c>
      <c r="H384" s="149"/>
    </row>
    <row r="385" spans="1:8" s="400" customFormat="1" ht="30" customHeight="1">
      <c r="A385" s="54" t="s">
        <v>131</v>
      </c>
      <c r="B385" s="18" t="s">
        <v>392</v>
      </c>
      <c r="C385" s="18" t="s">
        <v>153</v>
      </c>
      <c r="D385" s="18" t="s">
        <v>56</v>
      </c>
      <c r="E385" s="18" t="s">
        <v>409</v>
      </c>
      <c r="F385" s="149">
        <f t="shared" si="9"/>
        <v>32955.94499999999</v>
      </c>
      <c r="G385" s="149">
        <f>G386</f>
        <v>32955.94499999999</v>
      </c>
      <c r="H385" s="149"/>
    </row>
    <row r="386" spans="1:8" s="400" customFormat="1" ht="52.5" customHeight="1">
      <c r="A386" s="54" t="s">
        <v>210</v>
      </c>
      <c r="B386" s="18" t="s">
        <v>392</v>
      </c>
      <c r="C386" s="18" t="s">
        <v>153</v>
      </c>
      <c r="D386" s="18" t="s">
        <v>56</v>
      </c>
      <c r="E386" s="18" t="s">
        <v>211</v>
      </c>
      <c r="F386" s="149">
        <f t="shared" si="9"/>
        <v>32955.94499999999</v>
      </c>
      <c r="G386" s="149">
        <f>G387+G388+G390+G391+G392+G389+G402</f>
        <v>32955.94499999999</v>
      </c>
      <c r="H386" s="149"/>
    </row>
    <row r="387" spans="1:8" s="400" customFormat="1" ht="36" customHeight="1">
      <c r="A387" s="54" t="s">
        <v>887</v>
      </c>
      <c r="B387" s="18" t="s">
        <v>392</v>
      </c>
      <c r="C387" s="18" t="s">
        <v>153</v>
      </c>
      <c r="D387" s="18" t="s">
        <v>888</v>
      </c>
      <c r="E387" s="18" t="s">
        <v>287</v>
      </c>
      <c r="F387" s="149">
        <f>G387</f>
        <v>2666.965</v>
      </c>
      <c r="G387" s="149">
        <f>800+225+945+96.966+599.999</f>
        <v>2666.965</v>
      </c>
      <c r="H387" s="149"/>
    </row>
    <row r="388" spans="1:10" s="400" customFormat="1" ht="34.5" customHeight="1">
      <c r="A388" s="54" t="s">
        <v>126</v>
      </c>
      <c r="B388" s="18" t="s">
        <v>392</v>
      </c>
      <c r="C388" s="18" t="s">
        <v>153</v>
      </c>
      <c r="D388" s="18" t="s">
        <v>57</v>
      </c>
      <c r="E388" s="18" t="s">
        <v>287</v>
      </c>
      <c r="F388" s="149">
        <f t="shared" si="9"/>
        <v>6365.1</v>
      </c>
      <c r="G388" s="149">
        <f>3819.1+1302.2+180+1017.8+46</f>
        <v>6365.1</v>
      </c>
      <c r="H388" s="149"/>
      <c r="I388" s="420"/>
      <c r="J388" s="414"/>
    </row>
    <row r="389" spans="1:10" s="400" customFormat="1" ht="47.25" customHeight="1">
      <c r="A389" s="54" t="s">
        <v>871</v>
      </c>
      <c r="B389" s="18" t="s">
        <v>392</v>
      </c>
      <c r="C389" s="18" t="s">
        <v>153</v>
      </c>
      <c r="D389" s="18" t="s">
        <v>870</v>
      </c>
      <c r="E389" s="18" t="s">
        <v>287</v>
      </c>
      <c r="F389" s="149">
        <f t="shared" si="9"/>
        <v>48</v>
      </c>
      <c r="G389" s="149">
        <v>48</v>
      </c>
      <c r="H389" s="149"/>
      <c r="I389" s="420"/>
      <c r="J389" s="414"/>
    </row>
    <row r="390" spans="1:9" s="400" customFormat="1" ht="31.5" customHeight="1">
      <c r="A390" s="54" t="s">
        <v>898</v>
      </c>
      <c r="B390" s="18" t="s">
        <v>392</v>
      </c>
      <c r="C390" s="18" t="s">
        <v>153</v>
      </c>
      <c r="D390" s="18" t="s">
        <v>58</v>
      </c>
      <c r="E390" s="18" t="s">
        <v>287</v>
      </c>
      <c r="F390" s="149">
        <f t="shared" si="9"/>
        <v>12381.48</v>
      </c>
      <c r="G390" s="149">
        <f>8578.88+2555.1+617-220+850.5</f>
        <v>12381.48</v>
      </c>
      <c r="H390" s="149"/>
      <c r="I390" s="417"/>
    </row>
    <row r="391" spans="1:9" s="400" customFormat="1" ht="36" customHeight="1">
      <c r="A391" s="54" t="s">
        <v>213</v>
      </c>
      <c r="B391" s="18" t="s">
        <v>392</v>
      </c>
      <c r="C391" s="18" t="s">
        <v>153</v>
      </c>
      <c r="D391" s="18" t="s">
        <v>59</v>
      </c>
      <c r="E391" s="18" t="s">
        <v>287</v>
      </c>
      <c r="F391" s="149">
        <f t="shared" si="9"/>
        <v>7601.46</v>
      </c>
      <c r="G391" s="149">
        <f>4998.16+1893.3+180+530</f>
        <v>7601.46</v>
      </c>
      <c r="H391" s="149"/>
      <c r="I391" s="417"/>
    </row>
    <row r="392" spans="1:9" s="400" customFormat="1" ht="34.5" customHeight="1">
      <c r="A392" s="54" t="s">
        <v>214</v>
      </c>
      <c r="B392" s="18" t="s">
        <v>392</v>
      </c>
      <c r="C392" s="18" t="s">
        <v>153</v>
      </c>
      <c r="D392" s="18" t="s">
        <v>60</v>
      </c>
      <c r="E392" s="18" t="s">
        <v>287</v>
      </c>
      <c r="F392" s="149">
        <f t="shared" si="9"/>
        <v>3595.9399999999996</v>
      </c>
      <c r="G392" s="149">
        <f>2235.64+910.3+100+350</f>
        <v>3595.9399999999996</v>
      </c>
      <c r="H392" s="149"/>
      <c r="I392" s="417"/>
    </row>
    <row r="393" spans="1:9" s="392" customFormat="1" ht="80.25" customHeight="1" hidden="1">
      <c r="A393" s="77" t="s">
        <v>607</v>
      </c>
      <c r="B393" s="18" t="s">
        <v>392</v>
      </c>
      <c r="C393" s="18" t="s">
        <v>153</v>
      </c>
      <c r="D393" s="18" t="s">
        <v>888</v>
      </c>
      <c r="E393" s="135" t="s">
        <v>409</v>
      </c>
      <c r="F393" s="289">
        <f>G393+H393</f>
        <v>0</v>
      </c>
      <c r="G393" s="289">
        <f>G394+G396</f>
        <v>0</v>
      </c>
      <c r="H393" s="289">
        <f>H394</f>
        <v>0</v>
      </c>
      <c r="I393" s="421"/>
    </row>
    <row r="394" spans="1:9" s="392" customFormat="1" ht="88.5" customHeight="1" hidden="1">
      <c r="A394" s="54" t="s">
        <v>625</v>
      </c>
      <c r="B394" s="18" t="s">
        <v>392</v>
      </c>
      <c r="C394" s="18" t="s">
        <v>153</v>
      </c>
      <c r="D394" s="18" t="s">
        <v>899</v>
      </c>
      <c r="E394" s="18" t="s">
        <v>409</v>
      </c>
      <c r="F394" s="149">
        <f>G394+H394</f>
        <v>0</v>
      </c>
      <c r="G394" s="149">
        <f>G395</f>
        <v>0</v>
      </c>
      <c r="H394" s="149">
        <f>H395</f>
        <v>0</v>
      </c>
      <c r="I394" s="421"/>
    </row>
    <row r="395" spans="1:9" s="408" customFormat="1" ht="23.25" customHeight="1" hidden="1">
      <c r="A395" s="54" t="s">
        <v>212</v>
      </c>
      <c r="B395" s="18" t="s">
        <v>392</v>
      </c>
      <c r="C395" s="18" t="s">
        <v>153</v>
      </c>
      <c r="D395" s="18" t="s">
        <v>900</v>
      </c>
      <c r="E395" s="18" t="s">
        <v>211</v>
      </c>
      <c r="F395" s="149">
        <f>G395+H395</f>
        <v>0</v>
      </c>
      <c r="G395" s="149">
        <v>0</v>
      </c>
      <c r="H395" s="149">
        <v>0</v>
      </c>
      <c r="I395" s="422"/>
    </row>
    <row r="396" spans="1:9" s="392" customFormat="1" ht="111.75" customHeight="1" hidden="1">
      <c r="A396" s="54" t="s">
        <v>608</v>
      </c>
      <c r="B396" s="18" t="s">
        <v>392</v>
      </c>
      <c r="C396" s="18" t="s">
        <v>153</v>
      </c>
      <c r="D396" s="18" t="s">
        <v>901</v>
      </c>
      <c r="E396" s="18" t="s">
        <v>211</v>
      </c>
      <c r="F396" s="149">
        <f aca="true" t="shared" si="11" ref="F396:F401">G396</f>
        <v>0</v>
      </c>
      <c r="G396" s="149">
        <f>G397</f>
        <v>0</v>
      </c>
      <c r="H396" s="149">
        <f>H397</f>
        <v>0</v>
      </c>
      <c r="I396" s="421"/>
    </row>
    <row r="397" spans="1:9" s="408" customFormat="1" ht="24" customHeight="1" hidden="1">
      <c r="A397" s="54" t="s">
        <v>212</v>
      </c>
      <c r="B397" s="18" t="s">
        <v>392</v>
      </c>
      <c r="C397" s="18" t="s">
        <v>153</v>
      </c>
      <c r="D397" s="18" t="s">
        <v>902</v>
      </c>
      <c r="E397" s="18" t="s">
        <v>287</v>
      </c>
      <c r="F397" s="149">
        <f t="shared" si="11"/>
        <v>0</v>
      </c>
      <c r="G397" s="149">
        <v>0</v>
      </c>
      <c r="H397" s="149">
        <v>0</v>
      </c>
      <c r="I397" s="422"/>
    </row>
    <row r="398" spans="1:9" s="400" customFormat="1" ht="1.5" customHeight="1" hidden="1">
      <c r="A398" s="77" t="s">
        <v>578</v>
      </c>
      <c r="B398" s="18" t="s">
        <v>392</v>
      </c>
      <c r="C398" s="18" t="s">
        <v>153</v>
      </c>
      <c r="D398" s="18" t="s">
        <v>903</v>
      </c>
      <c r="E398" s="135" t="s">
        <v>409</v>
      </c>
      <c r="F398" s="289">
        <f t="shared" si="11"/>
        <v>0</v>
      </c>
      <c r="G398" s="289">
        <f>G399</f>
        <v>0</v>
      </c>
      <c r="H398" s="289"/>
      <c r="I398" s="417"/>
    </row>
    <row r="399" spans="1:9" s="400" customFormat="1" ht="34.5" customHeight="1" hidden="1">
      <c r="A399" s="54" t="s">
        <v>587</v>
      </c>
      <c r="B399" s="18" t="s">
        <v>392</v>
      </c>
      <c r="C399" s="18" t="s">
        <v>153</v>
      </c>
      <c r="D399" s="18" t="s">
        <v>904</v>
      </c>
      <c r="E399" s="18" t="s">
        <v>409</v>
      </c>
      <c r="F399" s="149">
        <f t="shared" si="11"/>
        <v>0</v>
      </c>
      <c r="G399" s="149">
        <f>G400</f>
        <v>0</v>
      </c>
      <c r="H399" s="149"/>
      <c r="I399" s="417"/>
    </row>
    <row r="400" spans="1:9" s="400" customFormat="1" ht="47.25" customHeight="1" hidden="1">
      <c r="A400" s="54" t="s">
        <v>210</v>
      </c>
      <c r="B400" s="18" t="s">
        <v>392</v>
      </c>
      <c r="C400" s="18" t="s">
        <v>153</v>
      </c>
      <c r="D400" s="18" t="s">
        <v>905</v>
      </c>
      <c r="E400" s="18" t="s">
        <v>211</v>
      </c>
      <c r="F400" s="149">
        <f t="shared" si="11"/>
        <v>0</v>
      </c>
      <c r="G400" s="149">
        <f>G401</f>
        <v>0</v>
      </c>
      <c r="H400" s="149"/>
      <c r="I400" s="417"/>
    </row>
    <row r="401" spans="1:9" s="400" customFormat="1" ht="23.25" customHeight="1" hidden="1">
      <c r="A401" s="54" t="s">
        <v>212</v>
      </c>
      <c r="B401" s="18" t="s">
        <v>392</v>
      </c>
      <c r="C401" s="18" t="s">
        <v>153</v>
      </c>
      <c r="D401" s="18" t="s">
        <v>906</v>
      </c>
      <c r="E401" s="18" t="s">
        <v>287</v>
      </c>
      <c r="F401" s="149">
        <f t="shared" si="11"/>
        <v>0</v>
      </c>
      <c r="G401" s="149"/>
      <c r="H401" s="149"/>
      <c r="I401" s="417"/>
    </row>
    <row r="402" spans="1:9" s="400" customFormat="1" ht="81.75" customHeight="1">
      <c r="A402" s="54" t="s">
        <v>913</v>
      </c>
      <c r="B402" s="18" t="s">
        <v>392</v>
      </c>
      <c r="C402" s="18" t="s">
        <v>153</v>
      </c>
      <c r="D402" s="18" t="s">
        <v>899</v>
      </c>
      <c r="E402" s="18" t="s">
        <v>287</v>
      </c>
      <c r="F402" s="149">
        <f>G402</f>
        <v>297</v>
      </c>
      <c r="G402" s="149">
        <f>220+46+31</f>
        <v>297</v>
      </c>
      <c r="H402" s="149"/>
      <c r="I402" s="417"/>
    </row>
    <row r="403" spans="1:9" s="400" customFormat="1" ht="81.75" customHeight="1">
      <c r="A403" s="77" t="s">
        <v>476</v>
      </c>
      <c r="B403" s="135" t="s">
        <v>392</v>
      </c>
      <c r="C403" s="135" t="s">
        <v>153</v>
      </c>
      <c r="D403" s="174" t="s">
        <v>935</v>
      </c>
      <c r="E403" s="135" t="s">
        <v>409</v>
      </c>
      <c r="F403" s="289">
        <f>G403+H403</f>
        <v>112.5</v>
      </c>
      <c r="G403" s="289">
        <f>G404</f>
        <v>112.5</v>
      </c>
      <c r="H403" s="289">
        <f>H404</f>
        <v>0</v>
      </c>
      <c r="I403" s="417"/>
    </row>
    <row r="404" spans="1:9" s="400" customFormat="1" ht="64.5" customHeight="1">
      <c r="A404" s="35" t="s">
        <v>210</v>
      </c>
      <c r="B404" s="18" t="s">
        <v>392</v>
      </c>
      <c r="C404" s="18" t="s">
        <v>153</v>
      </c>
      <c r="D404" s="182" t="s">
        <v>935</v>
      </c>
      <c r="E404" s="18" t="s">
        <v>211</v>
      </c>
      <c r="F404" s="149">
        <f>G404+H404</f>
        <v>112.5</v>
      </c>
      <c r="G404" s="149">
        <f>G405</f>
        <v>112.5</v>
      </c>
      <c r="H404" s="149">
        <f>H405</f>
        <v>0</v>
      </c>
      <c r="I404" s="417"/>
    </row>
    <row r="405" spans="1:9" s="400" customFormat="1" ht="36" customHeight="1">
      <c r="A405" s="35" t="s">
        <v>212</v>
      </c>
      <c r="B405" s="18" t="s">
        <v>392</v>
      </c>
      <c r="C405" s="18" t="s">
        <v>153</v>
      </c>
      <c r="D405" s="182" t="s">
        <v>935</v>
      </c>
      <c r="E405" s="18" t="s">
        <v>287</v>
      </c>
      <c r="F405" s="149">
        <f>G405+H405</f>
        <v>112.5</v>
      </c>
      <c r="G405" s="149">
        <f>25+87.5</f>
        <v>112.5</v>
      </c>
      <c r="H405" s="149">
        <v>0</v>
      </c>
      <c r="I405" s="417"/>
    </row>
    <row r="406" spans="1:8" s="415" customFormat="1" ht="48.75" customHeight="1">
      <c r="A406" s="59" t="s">
        <v>474</v>
      </c>
      <c r="B406" s="55" t="s">
        <v>392</v>
      </c>
      <c r="C406" s="55" t="s">
        <v>389</v>
      </c>
      <c r="D406" s="55" t="s">
        <v>29</v>
      </c>
      <c r="E406" s="55" t="s">
        <v>409</v>
      </c>
      <c r="F406" s="152">
        <f t="shared" si="9"/>
        <v>50</v>
      </c>
      <c r="G406" s="152">
        <f>G407</f>
        <v>50</v>
      </c>
      <c r="H406" s="152">
        <f>H407</f>
        <v>0</v>
      </c>
    </row>
    <row r="407" spans="1:8" s="400" customFormat="1" ht="32.25" customHeight="1">
      <c r="A407" s="60" t="s">
        <v>384</v>
      </c>
      <c r="B407" s="18" t="s">
        <v>392</v>
      </c>
      <c r="C407" s="18" t="s">
        <v>389</v>
      </c>
      <c r="D407" s="18" t="s">
        <v>62</v>
      </c>
      <c r="E407" s="18" t="s">
        <v>409</v>
      </c>
      <c r="F407" s="149">
        <f t="shared" si="9"/>
        <v>50</v>
      </c>
      <c r="G407" s="149">
        <f>G408</f>
        <v>50</v>
      </c>
      <c r="H407" s="149">
        <f>H408</f>
        <v>0</v>
      </c>
    </row>
    <row r="408" spans="1:8" s="400" customFormat="1" ht="32.25" customHeight="1">
      <c r="A408" s="54" t="s">
        <v>256</v>
      </c>
      <c r="B408" s="18" t="s">
        <v>392</v>
      </c>
      <c r="C408" s="18" t="s">
        <v>389</v>
      </c>
      <c r="D408" s="18" t="s">
        <v>63</v>
      </c>
      <c r="E408" s="18" t="s">
        <v>409</v>
      </c>
      <c r="F408" s="149">
        <f t="shared" si="9"/>
        <v>50</v>
      </c>
      <c r="G408" s="149">
        <f>G409</f>
        <v>50</v>
      </c>
      <c r="H408" s="149">
        <f>H410</f>
        <v>0</v>
      </c>
    </row>
    <row r="409" spans="1:8" s="400" customFormat="1" ht="49.5" customHeight="1">
      <c r="A409" s="54" t="s">
        <v>210</v>
      </c>
      <c r="B409" s="18" t="s">
        <v>392</v>
      </c>
      <c r="C409" s="18" t="s">
        <v>389</v>
      </c>
      <c r="D409" s="18" t="s">
        <v>63</v>
      </c>
      <c r="E409" s="18" t="s">
        <v>211</v>
      </c>
      <c r="F409" s="149">
        <f t="shared" si="9"/>
        <v>50</v>
      </c>
      <c r="G409" s="149">
        <f>G410</f>
        <v>50</v>
      </c>
      <c r="H409" s="149"/>
    </row>
    <row r="410" spans="1:8" s="400" customFormat="1" ht="20.25" customHeight="1">
      <c r="A410" s="54" t="s">
        <v>212</v>
      </c>
      <c r="B410" s="18" t="s">
        <v>392</v>
      </c>
      <c r="C410" s="18" t="s">
        <v>389</v>
      </c>
      <c r="D410" s="18" t="s">
        <v>63</v>
      </c>
      <c r="E410" s="18" t="s">
        <v>287</v>
      </c>
      <c r="F410" s="149">
        <f t="shared" si="9"/>
        <v>50</v>
      </c>
      <c r="G410" s="149">
        <f>30+20</f>
        <v>50</v>
      </c>
      <c r="H410" s="149"/>
    </row>
    <row r="411" spans="1:8" s="400" customFormat="1" ht="20.25" customHeight="1">
      <c r="A411" s="125" t="s">
        <v>701</v>
      </c>
      <c r="B411" s="157" t="s">
        <v>392</v>
      </c>
      <c r="C411" s="157" t="s">
        <v>392</v>
      </c>
      <c r="D411" s="157" t="s">
        <v>320</v>
      </c>
      <c r="E411" s="157" t="s">
        <v>409</v>
      </c>
      <c r="F411" s="296">
        <f>G411+H411</f>
        <v>643.72055</v>
      </c>
      <c r="G411" s="296">
        <f>G412</f>
        <v>46.898</v>
      </c>
      <c r="H411" s="296">
        <f>H412</f>
        <v>596.82255</v>
      </c>
    </row>
    <row r="412" spans="1:8" s="400" customFormat="1" ht="49.5" customHeight="1">
      <c r="A412" s="59" t="s">
        <v>474</v>
      </c>
      <c r="B412" s="55" t="s">
        <v>392</v>
      </c>
      <c r="C412" s="55" t="s">
        <v>392</v>
      </c>
      <c r="D412" s="55" t="s">
        <v>29</v>
      </c>
      <c r="E412" s="55" t="s">
        <v>409</v>
      </c>
      <c r="F412" s="149">
        <f t="shared" si="9"/>
        <v>643.72055</v>
      </c>
      <c r="G412" s="149">
        <f>G413+G419</f>
        <v>46.898</v>
      </c>
      <c r="H412" s="149">
        <f>H413+H419</f>
        <v>596.82255</v>
      </c>
    </row>
    <row r="413" spans="1:8" s="400" customFormat="1" ht="33.75" customHeight="1">
      <c r="A413" s="60" t="s">
        <v>462</v>
      </c>
      <c r="B413" s="18" t="s">
        <v>392</v>
      </c>
      <c r="C413" s="18" t="s">
        <v>392</v>
      </c>
      <c r="D413" s="18" t="s">
        <v>64</v>
      </c>
      <c r="E413" s="18" t="s">
        <v>409</v>
      </c>
      <c r="F413" s="149">
        <f t="shared" si="9"/>
        <v>643.72055</v>
      </c>
      <c r="G413" s="149">
        <f>G414+G426</f>
        <v>46.898</v>
      </c>
      <c r="H413" s="149">
        <f>H414</f>
        <v>596.82255</v>
      </c>
    </row>
    <row r="414" spans="1:8" s="415" customFormat="1" ht="65.25" customHeight="1">
      <c r="A414" s="59" t="s">
        <v>739</v>
      </c>
      <c r="B414" s="55" t="s">
        <v>392</v>
      </c>
      <c r="C414" s="55" t="s">
        <v>392</v>
      </c>
      <c r="D414" s="55" t="s">
        <v>64</v>
      </c>
      <c r="E414" s="55" t="s">
        <v>409</v>
      </c>
      <c r="F414" s="152">
        <f t="shared" si="9"/>
        <v>596.82255</v>
      </c>
      <c r="G414" s="152"/>
      <c r="H414" s="152">
        <f>H415+H417</f>
        <v>596.82255</v>
      </c>
    </row>
    <row r="415" spans="1:8" s="400" customFormat="1" ht="33" customHeight="1">
      <c r="A415" s="109" t="s">
        <v>201</v>
      </c>
      <c r="B415" s="17" t="s">
        <v>392</v>
      </c>
      <c r="C415" s="17" t="s">
        <v>392</v>
      </c>
      <c r="D415" s="18" t="s">
        <v>65</v>
      </c>
      <c r="E415" s="17" t="s">
        <v>156</v>
      </c>
      <c r="F415" s="149">
        <f>G415+H415</f>
        <v>0</v>
      </c>
      <c r="G415" s="149"/>
      <c r="H415" s="149">
        <f>H416</f>
        <v>0</v>
      </c>
    </row>
    <row r="416" spans="1:8" s="400" customFormat="1" ht="33" customHeight="1">
      <c r="A416" s="109" t="s">
        <v>202</v>
      </c>
      <c r="B416" s="18" t="s">
        <v>392</v>
      </c>
      <c r="C416" s="18" t="s">
        <v>392</v>
      </c>
      <c r="D416" s="18" t="s">
        <v>65</v>
      </c>
      <c r="E416" s="18" t="s">
        <v>203</v>
      </c>
      <c r="F416" s="149">
        <f>G416+H416</f>
        <v>0</v>
      </c>
      <c r="G416" s="149"/>
      <c r="H416" s="149"/>
    </row>
    <row r="417" spans="1:8" s="400" customFormat="1" ht="48.75" customHeight="1">
      <c r="A417" s="109" t="s">
        <v>210</v>
      </c>
      <c r="B417" s="17" t="s">
        <v>392</v>
      </c>
      <c r="C417" s="17" t="s">
        <v>392</v>
      </c>
      <c r="D417" s="18" t="s">
        <v>65</v>
      </c>
      <c r="E417" s="17" t="s">
        <v>211</v>
      </c>
      <c r="F417" s="149">
        <f t="shared" si="9"/>
        <v>596.82255</v>
      </c>
      <c r="G417" s="149"/>
      <c r="H417" s="149">
        <f>H418</f>
        <v>596.82255</v>
      </c>
    </row>
    <row r="418" spans="1:8" s="400" customFormat="1" ht="17.25" customHeight="1">
      <c r="A418" s="109" t="s">
        <v>212</v>
      </c>
      <c r="B418" s="18" t="s">
        <v>392</v>
      </c>
      <c r="C418" s="18" t="s">
        <v>392</v>
      </c>
      <c r="D418" s="18" t="s">
        <v>65</v>
      </c>
      <c r="E418" s="18" t="s">
        <v>287</v>
      </c>
      <c r="F418" s="149">
        <f t="shared" si="9"/>
        <v>596.82255</v>
      </c>
      <c r="G418" s="149"/>
      <c r="H418" s="149">
        <f>896.82255-300</f>
        <v>596.82255</v>
      </c>
    </row>
    <row r="419" spans="1:9" s="400" customFormat="1" ht="51" customHeight="1" hidden="1">
      <c r="A419" s="77" t="s">
        <v>671</v>
      </c>
      <c r="B419" s="18" t="s">
        <v>392</v>
      </c>
      <c r="C419" s="18" t="s">
        <v>392</v>
      </c>
      <c r="D419" s="135" t="s">
        <v>320</v>
      </c>
      <c r="E419" s="135" t="s">
        <v>409</v>
      </c>
      <c r="F419" s="289">
        <f aca="true" t="shared" si="12" ref="F419:F425">G419+H419</f>
        <v>0</v>
      </c>
      <c r="G419" s="289">
        <f>G423</f>
        <v>0</v>
      </c>
      <c r="H419" s="289">
        <f>H420</f>
        <v>0</v>
      </c>
      <c r="I419" s="417"/>
    </row>
    <row r="420" spans="1:9" s="400" customFormat="1" ht="82.5" customHeight="1" hidden="1">
      <c r="A420" s="54" t="s">
        <v>682</v>
      </c>
      <c r="B420" s="18" t="s">
        <v>392</v>
      </c>
      <c r="C420" s="18" t="s">
        <v>392</v>
      </c>
      <c r="D420" s="18" t="s">
        <v>691</v>
      </c>
      <c r="E420" s="18" t="s">
        <v>409</v>
      </c>
      <c r="F420" s="149">
        <f t="shared" si="12"/>
        <v>0</v>
      </c>
      <c r="G420" s="149"/>
      <c r="H420" s="149">
        <f>H421</f>
        <v>0</v>
      </c>
      <c r="I420" s="417"/>
    </row>
    <row r="421" spans="1:9" s="400" customFormat="1" ht="45" customHeight="1" hidden="1">
      <c r="A421" s="54" t="s">
        <v>210</v>
      </c>
      <c r="B421" s="18" t="s">
        <v>392</v>
      </c>
      <c r="C421" s="18" t="s">
        <v>392</v>
      </c>
      <c r="D421" s="18" t="s">
        <v>691</v>
      </c>
      <c r="E421" s="18" t="s">
        <v>211</v>
      </c>
      <c r="F421" s="149">
        <f t="shared" si="12"/>
        <v>0</v>
      </c>
      <c r="G421" s="149"/>
      <c r="H421" s="149">
        <f>H422</f>
        <v>0</v>
      </c>
      <c r="I421" s="417"/>
    </row>
    <row r="422" spans="1:9" s="400" customFormat="1" ht="23.25" customHeight="1" hidden="1">
      <c r="A422" s="54" t="s">
        <v>212</v>
      </c>
      <c r="B422" s="18" t="s">
        <v>392</v>
      </c>
      <c r="C422" s="18" t="s">
        <v>392</v>
      </c>
      <c r="D422" s="18" t="s">
        <v>691</v>
      </c>
      <c r="E422" s="18" t="s">
        <v>287</v>
      </c>
      <c r="F422" s="149">
        <f t="shared" si="12"/>
        <v>0</v>
      </c>
      <c r="G422" s="149"/>
      <c r="H422" s="149">
        <v>0</v>
      </c>
      <c r="I422" s="417"/>
    </row>
    <row r="423" spans="1:9" s="400" customFormat="1" ht="93.75" customHeight="1" hidden="1">
      <c r="A423" s="54" t="s">
        <v>683</v>
      </c>
      <c r="B423" s="18" t="s">
        <v>392</v>
      </c>
      <c r="C423" s="18" t="s">
        <v>392</v>
      </c>
      <c r="D423" s="18" t="s">
        <v>742</v>
      </c>
      <c r="E423" s="18" t="s">
        <v>409</v>
      </c>
      <c r="F423" s="149">
        <f t="shared" si="12"/>
        <v>0</v>
      </c>
      <c r="G423" s="149">
        <f>G424</f>
        <v>0</v>
      </c>
      <c r="H423" s="149"/>
      <c r="I423" s="417"/>
    </row>
    <row r="424" spans="1:9" s="400" customFormat="1" ht="48" customHeight="1" hidden="1">
      <c r="A424" s="54" t="s">
        <v>210</v>
      </c>
      <c r="B424" s="18" t="s">
        <v>392</v>
      </c>
      <c r="C424" s="18" t="s">
        <v>392</v>
      </c>
      <c r="D424" s="18" t="s">
        <v>742</v>
      </c>
      <c r="E424" s="18" t="s">
        <v>211</v>
      </c>
      <c r="F424" s="149">
        <f t="shared" si="12"/>
        <v>0</v>
      </c>
      <c r="G424" s="149">
        <f>G425</f>
        <v>0</v>
      </c>
      <c r="H424" s="149"/>
      <c r="I424" s="417"/>
    </row>
    <row r="425" spans="1:9" s="400" customFormat="1" ht="23.25" customHeight="1" hidden="1">
      <c r="A425" s="54" t="s">
        <v>212</v>
      </c>
      <c r="B425" s="18" t="s">
        <v>392</v>
      </c>
      <c r="C425" s="18" t="s">
        <v>392</v>
      </c>
      <c r="D425" s="18" t="s">
        <v>742</v>
      </c>
      <c r="E425" s="18" t="s">
        <v>287</v>
      </c>
      <c r="F425" s="149">
        <f t="shared" si="12"/>
        <v>0</v>
      </c>
      <c r="G425" s="149">
        <v>0</v>
      </c>
      <c r="H425" s="149"/>
      <c r="I425" s="417"/>
    </row>
    <row r="426" spans="1:9" s="400" customFormat="1" ht="66" customHeight="1">
      <c r="A426" s="54" t="s">
        <v>896</v>
      </c>
      <c r="B426" s="18" t="s">
        <v>392</v>
      </c>
      <c r="C426" s="18" t="s">
        <v>392</v>
      </c>
      <c r="D426" s="18" t="s">
        <v>895</v>
      </c>
      <c r="E426" s="18" t="s">
        <v>409</v>
      </c>
      <c r="F426" s="149">
        <f>G426</f>
        <v>46.898</v>
      </c>
      <c r="G426" s="149">
        <f>G427</f>
        <v>46.898</v>
      </c>
      <c r="H426" s="149"/>
      <c r="I426" s="417"/>
    </row>
    <row r="427" spans="1:9" s="400" customFormat="1" ht="23.25" customHeight="1">
      <c r="A427" s="109" t="s">
        <v>210</v>
      </c>
      <c r="B427" s="18" t="s">
        <v>392</v>
      </c>
      <c r="C427" s="18" t="s">
        <v>392</v>
      </c>
      <c r="D427" s="18" t="s">
        <v>895</v>
      </c>
      <c r="E427" s="18" t="s">
        <v>211</v>
      </c>
      <c r="F427" s="149">
        <f>G427</f>
        <v>46.898</v>
      </c>
      <c r="G427" s="149">
        <f>G428</f>
        <v>46.898</v>
      </c>
      <c r="H427" s="149"/>
      <c r="I427" s="417"/>
    </row>
    <row r="428" spans="1:9" s="400" customFormat="1" ht="23.25" customHeight="1">
      <c r="A428" s="109" t="s">
        <v>212</v>
      </c>
      <c r="B428" s="18" t="s">
        <v>392</v>
      </c>
      <c r="C428" s="18" t="s">
        <v>392</v>
      </c>
      <c r="D428" s="18" t="s">
        <v>895</v>
      </c>
      <c r="E428" s="18" t="s">
        <v>287</v>
      </c>
      <c r="F428" s="149">
        <f>G428</f>
        <v>46.898</v>
      </c>
      <c r="G428" s="149">
        <v>46.898</v>
      </c>
      <c r="H428" s="149"/>
      <c r="I428" s="417"/>
    </row>
    <row r="429" spans="1:10" s="415" customFormat="1" ht="18" customHeight="1">
      <c r="A429" s="108" t="s">
        <v>368</v>
      </c>
      <c r="B429" s="158" t="s">
        <v>392</v>
      </c>
      <c r="C429" s="158" t="s">
        <v>377</v>
      </c>
      <c r="D429" s="158" t="s">
        <v>320</v>
      </c>
      <c r="E429" s="158" t="s">
        <v>409</v>
      </c>
      <c r="F429" s="297">
        <f t="shared" si="9"/>
        <v>53407.435</v>
      </c>
      <c r="G429" s="297">
        <f>G430+G444+G447+G454+G460+G469+G465</f>
        <v>51541.587</v>
      </c>
      <c r="H429" s="297">
        <f>H447+H454+H469</f>
        <v>1865.848</v>
      </c>
      <c r="J429" s="419"/>
    </row>
    <row r="430" spans="1:8" s="400" customFormat="1" ht="33.75" customHeight="1">
      <c r="A430" s="60" t="s">
        <v>262</v>
      </c>
      <c r="B430" s="18" t="s">
        <v>392</v>
      </c>
      <c r="C430" s="18" t="s">
        <v>377</v>
      </c>
      <c r="D430" s="18" t="s">
        <v>66</v>
      </c>
      <c r="E430" s="18" t="s">
        <v>409</v>
      </c>
      <c r="F430" s="149">
        <f t="shared" si="9"/>
        <v>43972.187000000005</v>
      </c>
      <c r="G430" s="149">
        <f>G431+G439</f>
        <v>43972.187000000005</v>
      </c>
      <c r="H430" s="149">
        <f>H431</f>
        <v>0</v>
      </c>
    </row>
    <row r="431" spans="1:12" s="400" customFormat="1" ht="50.25" customHeight="1">
      <c r="A431" s="54" t="s">
        <v>68</v>
      </c>
      <c r="B431" s="18" t="s">
        <v>392</v>
      </c>
      <c r="C431" s="18" t="s">
        <v>377</v>
      </c>
      <c r="D431" s="18" t="s">
        <v>67</v>
      </c>
      <c r="E431" s="18" t="s">
        <v>409</v>
      </c>
      <c r="F431" s="149">
        <f t="shared" si="9"/>
        <v>40912.73</v>
      </c>
      <c r="G431" s="149">
        <f>G432+G434+G436</f>
        <v>40912.73</v>
      </c>
      <c r="H431" s="149">
        <f>SUM(H432:H438)</f>
        <v>0</v>
      </c>
      <c r="L431" s="400">
        <v>8</v>
      </c>
    </row>
    <row r="432" spans="1:8" s="400" customFormat="1" ht="95.25" customHeight="1">
      <c r="A432" s="62" t="s">
        <v>184</v>
      </c>
      <c r="B432" s="18" t="s">
        <v>392</v>
      </c>
      <c r="C432" s="18" t="s">
        <v>377</v>
      </c>
      <c r="D432" s="18" t="s">
        <v>67</v>
      </c>
      <c r="E432" s="18" t="s">
        <v>151</v>
      </c>
      <c r="F432" s="149">
        <f t="shared" si="9"/>
        <v>34785.63</v>
      </c>
      <c r="G432" s="149">
        <f>G433</f>
        <v>34785.63</v>
      </c>
      <c r="H432" s="149"/>
    </row>
    <row r="433" spans="1:9" ht="32.25" customHeight="1">
      <c r="A433" s="54" t="s">
        <v>200</v>
      </c>
      <c r="B433" s="18" t="s">
        <v>392</v>
      </c>
      <c r="C433" s="18" t="s">
        <v>377</v>
      </c>
      <c r="D433" s="18" t="s">
        <v>67</v>
      </c>
      <c r="E433" s="18" t="s">
        <v>158</v>
      </c>
      <c r="F433" s="149">
        <f t="shared" si="9"/>
        <v>34785.63</v>
      </c>
      <c r="G433" s="149">
        <f>34785.63</f>
        <v>34785.63</v>
      </c>
      <c r="H433" s="294"/>
      <c r="I433" s="423"/>
    </row>
    <row r="434" spans="1:8" ht="33" customHeight="1">
      <c r="A434" s="54" t="s">
        <v>187</v>
      </c>
      <c r="B434" s="18" t="s">
        <v>392</v>
      </c>
      <c r="C434" s="18" t="s">
        <v>377</v>
      </c>
      <c r="D434" s="18" t="s">
        <v>67</v>
      </c>
      <c r="E434" s="18" t="s">
        <v>155</v>
      </c>
      <c r="F434" s="149">
        <f t="shared" si="9"/>
        <v>5788.472000000009</v>
      </c>
      <c r="G434" s="149">
        <f>G435</f>
        <v>5788.472000000009</v>
      </c>
      <c r="H434" s="294"/>
    </row>
    <row r="435" spans="1:9" ht="48.75" customHeight="1">
      <c r="A435" s="109" t="s">
        <v>188</v>
      </c>
      <c r="B435" s="18" t="s">
        <v>392</v>
      </c>
      <c r="C435" s="18" t="s">
        <v>377</v>
      </c>
      <c r="D435" s="18" t="s">
        <v>67</v>
      </c>
      <c r="E435" s="18" t="s">
        <v>189</v>
      </c>
      <c r="F435" s="149">
        <f t="shared" si="9"/>
        <v>5788.472000000009</v>
      </c>
      <c r="G435" s="149">
        <f>40712.73-89.2-34785.63-49.428</f>
        <v>5788.472000000009</v>
      </c>
      <c r="H435" s="149"/>
      <c r="I435" s="423"/>
    </row>
    <row r="436" spans="1:8" ht="19.5" customHeight="1">
      <c r="A436" s="54" t="s">
        <v>192</v>
      </c>
      <c r="B436" s="18" t="s">
        <v>392</v>
      </c>
      <c r="C436" s="18" t="s">
        <v>377</v>
      </c>
      <c r="D436" s="18" t="s">
        <v>67</v>
      </c>
      <c r="E436" s="18" t="s">
        <v>193</v>
      </c>
      <c r="F436" s="149">
        <f t="shared" si="9"/>
        <v>338.628</v>
      </c>
      <c r="G436" s="149">
        <f>G437+G438</f>
        <v>338.628</v>
      </c>
      <c r="H436" s="149"/>
    </row>
    <row r="437" spans="1:8" ht="19.5" customHeight="1" hidden="1">
      <c r="A437" s="54" t="s">
        <v>196</v>
      </c>
      <c r="B437" s="18" t="s">
        <v>392</v>
      </c>
      <c r="C437" s="18" t="s">
        <v>377</v>
      </c>
      <c r="D437" s="18" t="s">
        <v>67</v>
      </c>
      <c r="E437" s="18" t="s">
        <v>197</v>
      </c>
      <c r="F437" s="149">
        <f>G437</f>
        <v>0</v>
      </c>
      <c r="G437" s="149"/>
      <c r="H437" s="149"/>
    </row>
    <row r="438" spans="1:8" ht="19.5" customHeight="1">
      <c r="A438" s="54" t="s">
        <v>190</v>
      </c>
      <c r="B438" s="18" t="s">
        <v>392</v>
      </c>
      <c r="C438" s="18" t="s">
        <v>377</v>
      </c>
      <c r="D438" s="18" t="s">
        <v>67</v>
      </c>
      <c r="E438" s="18" t="s">
        <v>191</v>
      </c>
      <c r="F438" s="149">
        <f>G438+H438</f>
        <v>338.628</v>
      </c>
      <c r="G438" s="149">
        <f>89.2+200+49.428</f>
        <v>338.628</v>
      </c>
      <c r="H438" s="149"/>
    </row>
    <row r="439" spans="1:8" ht="65.25" customHeight="1">
      <c r="A439" s="60" t="s">
        <v>541</v>
      </c>
      <c r="B439" s="18" t="s">
        <v>392</v>
      </c>
      <c r="C439" s="18" t="s">
        <v>377</v>
      </c>
      <c r="D439" s="18" t="s">
        <v>67</v>
      </c>
      <c r="E439" s="18" t="s">
        <v>409</v>
      </c>
      <c r="F439" s="149">
        <f>G439</f>
        <v>3059.4570000000003</v>
      </c>
      <c r="G439" s="149">
        <f>G440+G442</f>
        <v>3059.4570000000003</v>
      </c>
      <c r="H439" s="424"/>
    </row>
    <row r="440" spans="1:8" ht="93.75" customHeight="1">
      <c r="A440" s="54" t="s">
        <v>184</v>
      </c>
      <c r="B440" s="18" t="s">
        <v>392</v>
      </c>
      <c r="C440" s="18" t="s">
        <v>377</v>
      </c>
      <c r="D440" s="18" t="s">
        <v>67</v>
      </c>
      <c r="E440" s="18" t="s">
        <v>151</v>
      </c>
      <c r="F440" s="149">
        <f>G440</f>
        <v>2969.4570000000003</v>
      </c>
      <c r="G440" s="149">
        <f>G441</f>
        <v>2969.4570000000003</v>
      </c>
      <c r="H440" s="424"/>
    </row>
    <row r="441" spans="1:8" ht="33" customHeight="1">
      <c r="A441" s="54" t="s">
        <v>200</v>
      </c>
      <c r="B441" s="18" t="s">
        <v>392</v>
      </c>
      <c r="C441" s="18" t="s">
        <v>377</v>
      </c>
      <c r="D441" s="18" t="s">
        <v>67</v>
      </c>
      <c r="E441" s="18" t="s">
        <v>158</v>
      </c>
      <c r="F441" s="149">
        <f>G441</f>
        <v>2969.4570000000003</v>
      </c>
      <c r="G441" s="149">
        <f>1630.957+1338.5</f>
        <v>2969.4570000000003</v>
      </c>
      <c r="H441" s="424"/>
    </row>
    <row r="442" spans="1:8" ht="33.75" customHeight="1">
      <c r="A442" s="54" t="s">
        <v>187</v>
      </c>
      <c r="B442" s="18" t="s">
        <v>392</v>
      </c>
      <c r="C442" s="18" t="s">
        <v>377</v>
      </c>
      <c r="D442" s="18" t="s">
        <v>67</v>
      </c>
      <c r="E442" s="18" t="s">
        <v>155</v>
      </c>
      <c r="F442" s="149">
        <f>G442</f>
        <v>90</v>
      </c>
      <c r="G442" s="149">
        <f>G443</f>
        <v>90</v>
      </c>
      <c r="H442" s="424"/>
    </row>
    <row r="443" spans="1:8" ht="47.25" customHeight="1">
      <c r="A443" s="109" t="s">
        <v>188</v>
      </c>
      <c r="B443" s="18" t="s">
        <v>392</v>
      </c>
      <c r="C443" s="18" t="s">
        <v>377</v>
      </c>
      <c r="D443" s="18" t="s">
        <v>67</v>
      </c>
      <c r="E443" s="18" t="s">
        <v>189</v>
      </c>
      <c r="F443" s="149">
        <f>G443</f>
        <v>90</v>
      </c>
      <c r="G443" s="149">
        <f>90</f>
        <v>90</v>
      </c>
      <c r="H443" s="424"/>
    </row>
    <row r="444" spans="1:8" ht="33.75" customHeight="1">
      <c r="A444" s="60" t="s">
        <v>31</v>
      </c>
      <c r="B444" s="18" t="s">
        <v>392</v>
      </c>
      <c r="C444" s="18" t="s">
        <v>377</v>
      </c>
      <c r="D444" s="4" t="s">
        <v>30</v>
      </c>
      <c r="E444" s="18" t="s">
        <v>409</v>
      </c>
      <c r="F444" s="149">
        <f>G444+H444</f>
        <v>111</v>
      </c>
      <c r="G444" s="149">
        <f>G445</f>
        <v>111</v>
      </c>
      <c r="H444" s="298"/>
    </row>
    <row r="445" spans="1:8" ht="33" customHeight="1">
      <c r="A445" s="54" t="s">
        <v>187</v>
      </c>
      <c r="B445" s="18" t="s">
        <v>392</v>
      </c>
      <c r="C445" s="18" t="s">
        <v>377</v>
      </c>
      <c r="D445" s="4" t="s">
        <v>32</v>
      </c>
      <c r="E445" s="18" t="s">
        <v>155</v>
      </c>
      <c r="F445" s="149">
        <f>G445+H445</f>
        <v>111</v>
      </c>
      <c r="G445" s="149">
        <f>G446</f>
        <v>111</v>
      </c>
      <c r="H445" s="149"/>
    </row>
    <row r="446" spans="1:8" ht="51" customHeight="1">
      <c r="A446" s="109" t="s">
        <v>188</v>
      </c>
      <c r="B446" s="18" t="s">
        <v>392</v>
      </c>
      <c r="C446" s="18" t="s">
        <v>377</v>
      </c>
      <c r="D446" s="4" t="s">
        <v>33</v>
      </c>
      <c r="E446" s="18" t="s">
        <v>189</v>
      </c>
      <c r="F446" s="149">
        <f>G446+H446</f>
        <v>111</v>
      </c>
      <c r="G446" s="336">
        <v>111</v>
      </c>
      <c r="H446" s="149"/>
    </row>
    <row r="447" spans="1:8" s="405" customFormat="1" ht="63" customHeight="1">
      <c r="A447" s="59" t="s">
        <v>475</v>
      </c>
      <c r="B447" s="55" t="s">
        <v>392</v>
      </c>
      <c r="C447" s="55" t="s">
        <v>377</v>
      </c>
      <c r="D447" s="55" t="s">
        <v>69</v>
      </c>
      <c r="E447" s="55" t="s">
        <v>409</v>
      </c>
      <c r="F447" s="152">
        <f t="shared" si="9"/>
        <v>598</v>
      </c>
      <c r="G447" s="152">
        <f>G448+G451</f>
        <v>598</v>
      </c>
      <c r="H447" s="152">
        <f>H448</f>
        <v>0</v>
      </c>
    </row>
    <row r="448" spans="1:8" ht="18" customHeight="1">
      <c r="A448" s="54" t="s">
        <v>401</v>
      </c>
      <c r="B448" s="18" t="s">
        <v>392</v>
      </c>
      <c r="C448" s="18" t="s">
        <v>377</v>
      </c>
      <c r="D448" s="18" t="s">
        <v>70</v>
      </c>
      <c r="E448" s="18" t="s">
        <v>409</v>
      </c>
      <c r="F448" s="149">
        <f t="shared" si="9"/>
        <v>380</v>
      </c>
      <c r="G448" s="149">
        <f>G449</f>
        <v>380</v>
      </c>
      <c r="H448" s="149"/>
    </row>
    <row r="449" spans="1:8" ht="37.5" customHeight="1">
      <c r="A449" s="54" t="s">
        <v>187</v>
      </c>
      <c r="B449" s="18" t="s">
        <v>392</v>
      </c>
      <c r="C449" s="18" t="s">
        <v>377</v>
      </c>
      <c r="D449" s="18" t="s">
        <v>71</v>
      </c>
      <c r="E449" s="18" t="s">
        <v>155</v>
      </c>
      <c r="F449" s="149">
        <f t="shared" si="9"/>
        <v>380</v>
      </c>
      <c r="G449" s="149">
        <f>G450</f>
        <v>380</v>
      </c>
      <c r="H449" s="149"/>
    </row>
    <row r="450" spans="1:8" ht="50.25" customHeight="1">
      <c r="A450" s="109" t="s">
        <v>188</v>
      </c>
      <c r="B450" s="18" t="s">
        <v>392</v>
      </c>
      <c r="C450" s="18" t="s">
        <v>377</v>
      </c>
      <c r="D450" s="18" t="s">
        <v>71</v>
      </c>
      <c r="E450" s="18" t="s">
        <v>189</v>
      </c>
      <c r="F450" s="149">
        <f t="shared" si="9"/>
        <v>380</v>
      </c>
      <c r="G450" s="149">
        <f>380</f>
        <v>380</v>
      </c>
      <c r="H450" s="149"/>
    </row>
    <row r="451" spans="1:8" ht="33" customHeight="1">
      <c r="A451" s="54" t="s">
        <v>131</v>
      </c>
      <c r="B451" s="18" t="s">
        <v>392</v>
      </c>
      <c r="C451" s="18" t="s">
        <v>377</v>
      </c>
      <c r="D451" s="18" t="s">
        <v>72</v>
      </c>
      <c r="E451" s="18" t="s">
        <v>409</v>
      </c>
      <c r="F451" s="149">
        <f t="shared" si="9"/>
        <v>218</v>
      </c>
      <c r="G451" s="149">
        <f>G452</f>
        <v>218</v>
      </c>
      <c r="H451" s="149"/>
    </row>
    <row r="452" spans="1:8" ht="49.5" customHeight="1">
      <c r="A452" s="62" t="s">
        <v>210</v>
      </c>
      <c r="B452" s="18" t="s">
        <v>392</v>
      </c>
      <c r="C452" s="18" t="s">
        <v>377</v>
      </c>
      <c r="D452" s="18" t="s">
        <v>72</v>
      </c>
      <c r="E452" s="18" t="s">
        <v>211</v>
      </c>
      <c r="F452" s="149">
        <f t="shared" si="9"/>
        <v>218</v>
      </c>
      <c r="G452" s="149">
        <f>G453</f>
        <v>218</v>
      </c>
      <c r="H452" s="149"/>
    </row>
    <row r="453" spans="1:8" ht="16.5" customHeight="1">
      <c r="A453" s="62" t="s">
        <v>212</v>
      </c>
      <c r="B453" s="18" t="s">
        <v>392</v>
      </c>
      <c r="C453" s="18" t="s">
        <v>377</v>
      </c>
      <c r="D453" s="18" t="s">
        <v>72</v>
      </c>
      <c r="E453" s="18" t="s">
        <v>287</v>
      </c>
      <c r="F453" s="149">
        <f t="shared" si="9"/>
        <v>218</v>
      </c>
      <c r="G453" s="149">
        <f>218</f>
        <v>218</v>
      </c>
      <c r="H453" s="149"/>
    </row>
    <row r="454" spans="1:8" s="405" customFormat="1" ht="64.5" customHeight="1">
      <c r="A454" s="59" t="s">
        <v>488</v>
      </c>
      <c r="B454" s="55" t="s">
        <v>392</v>
      </c>
      <c r="C454" s="55" t="s">
        <v>377</v>
      </c>
      <c r="D454" s="55" t="s">
        <v>36</v>
      </c>
      <c r="E454" s="55" t="s">
        <v>409</v>
      </c>
      <c r="F454" s="152">
        <f t="shared" si="9"/>
        <v>2011.5</v>
      </c>
      <c r="G454" s="152">
        <f>G455</f>
        <v>2011.5</v>
      </c>
      <c r="H454" s="299">
        <f>H455</f>
        <v>0</v>
      </c>
    </row>
    <row r="455" spans="1:8" ht="19.5" customHeight="1">
      <c r="A455" s="54" t="s">
        <v>401</v>
      </c>
      <c r="B455" s="18" t="s">
        <v>392</v>
      </c>
      <c r="C455" s="18" t="s">
        <v>377</v>
      </c>
      <c r="D455" s="18" t="s">
        <v>37</v>
      </c>
      <c r="E455" s="18" t="s">
        <v>409</v>
      </c>
      <c r="F455" s="149">
        <f t="shared" si="9"/>
        <v>2011.5</v>
      </c>
      <c r="G455" s="149">
        <f>G456+G458</f>
        <v>2011.5</v>
      </c>
      <c r="H455" s="149">
        <f>H456</f>
        <v>0</v>
      </c>
    </row>
    <row r="456" spans="1:8" ht="38.25" customHeight="1">
      <c r="A456" s="54" t="s">
        <v>187</v>
      </c>
      <c r="B456" s="18" t="s">
        <v>392</v>
      </c>
      <c r="C456" s="18" t="s">
        <v>377</v>
      </c>
      <c r="D456" s="18" t="s">
        <v>73</v>
      </c>
      <c r="E456" s="18" t="s">
        <v>155</v>
      </c>
      <c r="F456" s="149">
        <f t="shared" si="9"/>
        <v>4</v>
      </c>
      <c r="G456" s="149">
        <f>G457</f>
        <v>4</v>
      </c>
      <c r="H456" s="149"/>
    </row>
    <row r="457" spans="1:8" ht="48.75" customHeight="1">
      <c r="A457" s="109" t="s">
        <v>188</v>
      </c>
      <c r="B457" s="18" t="s">
        <v>392</v>
      </c>
      <c r="C457" s="18" t="s">
        <v>377</v>
      </c>
      <c r="D457" s="18" t="s">
        <v>73</v>
      </c>
      <c r="E457" s="18" t="s">
        <v>189</v>
      </c>
      <c r="F457" s="149">
        <f t="shared" si="9"/>
        <v>4</v>
      </c>
      <c r="G457" s="149">
        <f>134-130</f>
        <v>4</v>
      </c>
      <c r="H457" s="149"/>
    </row>
    <row r="458" spans="1:8" ht="48.75" customHeight="1">
      <c r="A458" s="54" t="s">
        <v>210</v>
      </c>
      <c r="B458" s="18" t="s">
        <v>392</v>
      </c>
      <c r="C458" s="18" t="s">
        <v>377</v>
      </c>
      <c r="D458" s="18" t="s">
        <v>73</v>
      </c>
      <c r="E458" s="18" t="s">
        <v>211</v>
      </c>
      <c r="F458" s="149">
        <f>G458</f>
        <v>2007.5</v>
      </c>
      <c r="G458" s="149">
        <f>G459</f>
        <v>2007.5</v>
      </c>
      <c r="H458" s="149"/>
    </row>
    <row r="459" spans="1:8" ht="20.25" customHeight="1">
      <c r="A459" s="54" t="s">
        <v>212</v>
      </c>
      <c r="B459" s="18" t="s">
        <v>392</v>
      </c>
      <c r="C459" s="18" t="s">
        <v>377</v>
      </c>
      <c r="D459" s="18" t="s">
        <v>73</v>
      </c>
      <c r="E459" s="18" t="s">
        <v>287</v>
      </c>
      <c r="F459" s="149">
        <f>G459</f>
        <v>2007.5</v>
      </c>
      <c r="G459" s="149">
        <f>120+2000-112.5</f>
        <v>2007.5</v>
      </c>
      <c r="H459" s="149"/>
    </row>
    <row r="460" spans="1:8" ht="78" customHeight="1">
      <c r="A460" s="87" t="s">
        <v>529</v>
      </c>
      <c r="B460" s="55" t="s">
        <v>392</v>
      </c>
      <c r="C460" s="55" t="s">
        <v>377</v>
      </c>
      <c r="D460" s="55" t="s">
        <v>527</v>
      </c>
      <c r="E460" s="55" t="s">
        <v>409</v>
      </c>
      <c r="F460" s="152">
        <f aca="true" t="shared" si="13" ref="F460:F468">G460</f>
        <v>1103.2</v>
      </c>
      <c r="G460" s="152">
        <f>G461+G463</f>
        <v>1103.2</v>
      </c>
      <c r="H460" s="299"/>
    </row>
    <row r="461" spans="1:8" ht="39" customHeight="1">
      <c r="A461" s="54" t="s">
        <v>187</v>
      </c>
      <c r="B461" s="18" t="s">
        <v>392</v>
      </c>
      <c r="C461" s="18" t="s">
        <v>377</v>
      </c>
      <c r="D461" s="18" t="s">
        <v>892</v>
      </c>
      <c r="E461" s="18" t="s">
        <v>155</v>
      </c>
      <c r="F461" s="149">
        <f>G461</f>
        <v>158</v>
      </c>
      <c r="G461" s="149">
        <f>G462</f>
        <v>158</v>
      </c>
      <c r="H461" s="293"/>
    </row>
    <row r="462" spans="1:8" ht="53.25" customHeight="1">
      <c r="A462" s="109" t="s">
        <v>188</v>
      </c>
      <c r="B462" s="18" t="s">
        <v>392</v>
      </c>
      <c r="C462" s="18" t="s">
        <v>377</v>
      </c>
      <c r="D462" s="18" t="s">
        <v>892</v>
      </c>
      <c r="E462" s="18" t="s">
        <v>189</v>
      </c>
      <c r="F462" s="149">
        <f>G462</f>
        <v>158</v>
      </c>
      <c r="G462" s="149">
        <v>158</v>
      </c>
      <c r="H462" s="293"/>
    </row>
    <row r="463" spans="1:8" ht="46.5" customHeight="1">
      <c r="A463" s="54" t="s">
        <v>210</v>
      </c>
      <c r="B463" s="18" t="s">
        <v>392</v>
      </c>
      <c r="C463" s="18" t="s">
        <v>377</v>
      </c>
      <c r="D463" s="18" t="s">
        <v>528</v>
      </c>
      <c r="E463" s="18" t="s">
        <v>211</v>
      </c>
      <c r="F463" s="149">
        <f t="shared" si="13"/>
        <v>945.2</v>
      </c>
      <c r="G463" s="149">
        <f>G464</f>
        <v>945.2</v>
      </c>
      <c r="H463" s="149"/>
    </row>
    <row r="464" spans="1:8" ht="18" customHeight="1">
      <c r="A464" s="54" t="s">
        <v>212</v>
      </c>
      <c r="B464" s="18" t="s">
        <v>392</v>
      </c>
      <c r="C464" s="18" t="s">
        <v>377</v>
      </c>
      <c r="D464" s="18" t="s">
        <v>528</v>
      </c>
      <c r="E464" s="18" t="s">
        <v>287</v>
      </c>
      <c r="F464" s="149">
        <f t="shared" si="13"/>
        <v>945.2</v>
      </c>
      <c r="G464" s="149">
        <f>1215-61.8-50-158</f>
        <v>945.2</v>
      </c>
      <c r="H464" s="149"/>
    </row>
    <row r="465" spans="1:8" ht="51" customHeight="1" hidden="1">
      <c r="A465" s="146" t="s">
        <v>435</v>
      </c>
      <c r="B465" s="122" t="s">
        <v>392</v>
      </c>
      <c r="C465" s="122" t="s">
        <v>377</v>
      </c>
      <c r="D465" s="122" t="s">
        <v>39</v>
      </c>
      <c r="E465" s="122" t="s">
        <v>409</v>
      </c>
      <c r="F465" s="299">
        <f t="shared" si="13"/>
        <v>0</v>
      </c>
      <c r="G465" s="299">
        <f>G466</f>
        <v>0</v>
      </c>
      <c r="H465" s="299"/>
    </row>
    <row r="466" spans="1:8" ht="36.75" customHeight="1" hidden="1">
      <c r="A466" s="136" t="s">
        <v>187</v>
      </c>
      <c r="B466" s="81" t="s">
        <v>392</v>
      </c>
      <c r="C466" s="81" t="s">
        <v>377</v>
      </c>
      <c r="D466" s="81" t="s">
        <v>499</v>
      </c>
      <c r="E466" s="81" t="s">
        <v>155</v>
      </c>
      <c r="F466" s="293">
        <f t="shared" si="13"/>
        <v>0</v>
      </c>
      <c r="G466" s="293">
        <f>G467+G468</f>
        <v>0</v>
      </c>
      <c r="H466" s="293"/>
    </row>
    <row r="467" spans="1:8" ht="64.5" customHeight="1" hidden="1">
      <c r="A467" s="136" t="s">
        <v>609</v>
      </c>
      <c r="B467" s="81" t="s">
        <v>392</v>
      </c>
      <c r="C467" s="81" t="s">
        <v>377</v>
      </c>
      <c r="D467" s="81" t="s">
        <v>531</v>
      </c>
      <c r="E467" s="81" t="s">
        <v>189</v>
      </c>
      <c r="F467" s="293">
        <f t="shared" si="13"/>
        <v>0</v>
      </c>
      <c r="G467" s="293">
        <v>0</v>
      </c>
      <c r="H467" s="293"/>
    </row>
    <row r="468" spans="1:8" ht="48" customHeight="1" hidden="1">
      <c r="A468" s="136" t="s">
        <v>610</v>
      </c>
      <c r="B468" s="81" t="s">
        <v>392</v>
      </c>
      <c r="C468" s="81" t="s">
        <v>377</v>
      </c>
      <c r="D468" s="81" t="s">
        <v>532</v>
      </c>
      <c r="E468" s="81" t="s">
        <v>189</v>
      </c>
      <c r="F468" s="293">
        <f t="shared" si="13"/>
        <v>0</v>
      </c>
      <c r="G468" s="149">
        <v>0</v>
      </c>
      <c r="H468" s="293"/>
    </row>
    <row r="469" spans="1:8" ht="36" customHeight="1">
      <c r="A469" s="153" t="s">
        <v>149</v>
      </c>
      <c r="B469" s="154" t="s">
        <v>392</v>
      </c>
      <c r="C469" s="154" t="s">
        <v>377</v>
      </c>
      <c r="D469" s="154" t="s">
        <v>10</v>
      </c>
      <c r="E469" s="154" t="s">
        <v>409</v>
      </c>
      <c r="F469" s="288">
        <f t="shared" si="9"/>
        <v>5611.548</v>
      </c>
      <c r="G469" s="288">
        <f>G470+G476</f>
        <v>3745.7</v>
      </c>
      <c r="H469" s="288">
        <f>H470</f>
        <v>1865.848</v>
      </c>
    </row>
    <row r="470" spans="1:8" s="392" customFormat="1" ht="45.75" customHeight="1">
      <c r="A470" s="54" t="s">
        <v>150</v>
      </c>
      <c r="B470" s="18" t="s">
        <v>392</v>
      </c>
      <c r="C470" s="18" t="s">
        <v>377</v>
      </c>
      <c r="D470" s="18" t="s">
        <v>11</v>
      </c>
      <c r="E470" s="18" t="s">
        <v>409</v>
      </c>
      <c r="F470" s="149">
        <f t="shared" si="9"/>
        <v>5324.048</v>
      </c>
      <c r="G470" s="149">
        <f>G471</f>
        <v>3458.2</v>
      </c>
      <c r="H470" s="149">
        <f>H471+H479</f>
        <v>1865.848</v>
      </c>
    </row>
    <row r="471" spans="1:10" ht="51" customHeight="1">
      <c r="A471" s="62" t="s">
        <v>154</v>
      </c>
      <c r="B471" s="17" t="s">
        <v>392</v>
      </c>
      <c r="C471" s="17" t="s">
        <v>377</v>
      </c>
      <c r="D471" s="18" t="s">
        <v>14</v>
      </c>
      <c r="E471" s="17" t="s">
        <v>409</v>
      </c>
      <c r="F471" s="149">
        <f t="shared" si="9"/>
        <v>3458.2</v>
      </c>
      <c r="G471" s="149">
        <f>G472+G474</f>
        <v>3458.2</v>
      </c>
      <c r="H471" s="149">
        <f>SUM(H472:H475)</f>
        <v>0</v>
      </c>
      <c r="J471" s="423"/>
    </row>
    <row r="472" spans="1:8" ht="95.25" customHeight="1">
      <c r="A472" s="62" t="s">
        <v>184</v>
      </c>
      <c r="B472" s="17" t="s">
        <v>392</v>
      </c>
      <c r="C472" s="17" t="s">
        <v>377</v>
      </c>
      <c r="D472" s="18" t="s">
        <v>14</v>
      </c>
      <c r="E472" s="17" t="s">
        <v>151</v>
      </c>
      <c r="F472" s="149">
        <f t="shared" si="9"/>
        <v>3313.2</v>
      </c>
      <c r="G472" s="149">
        <f>G473</f>
        <v>3313.2</v>
      </c>
      <c r="H472" s="149"/>
    </row>
    <row r="473" spans="1:8" ht="35.25" customHeight="1">
      <c r="A473" s="62" t="s">
        <v>186</v>
      </c>
      <c r="B473" s="17" t="s">
        <v>392</v>
      </c>
      <c r="C473" s="17" t="s">
        <v>377</v>
      </c>
      <c r="D473" s="18" t="s">
        <v>14</v>
      </c>
      <c r="E473" s="17" t="s">
        <v>185</v>
      </c>
      <c r="F473" s="149">
        <f t="shared" si="9"/>
        <v>3313.2</v>
      </c>
      <c r="G473" s="336">
        <f>2510.9+44+758.3</f>
        <v>3313.2</v>
      </c>
      <c r="H473" s="149"/>
    </row>
    <row r="474" spans="1:8" ht="34.5" customHeight="1">
      <c r="A474" s="54" t="s">
        <v>187</v>
      </c>
      <c r="B474" s="17" t="s">
        <v>392</v>
      </c>
      <c r="C474" s="17" t="s">
        <v>377</v>
      </c>
      <c r="D474" s="18" t="s">
        <v>14</v>
      </c>
      <c r="E474" s="17" t="s">
        <v>155</v>
      </c>
      <c r="F474" s="149">
        <f t="shared" si="9"/>
        <v>145</v>
      </c>
      <c r="G474" s="149">
        <f>G475</f>
        <v>145</v>
      </c>
      <c r="H474" s="149"/>
    </row>
    <row r="475" spans="1:8" ht="46.5" customHeight="1">
      <c r="A475" s="109" t="s">
        <v>188</v>
      </c>
      <c r="B475" s="17" t="s">
        <v>392</v>
      </c>
      <c r="C475" s="17" t="s">
        <v>377</v>
      </c>
      <c r="D475" s="18" t="s">
        <v>14</v>
      </c>
      <c r="E475" s="17" t="s">
        <v>189</v>
      </c>
      <c r="F475" s="149">
        <f t="shared" si="9"/>
        <v>145</v>
      </c>
      <c r="G475" s="336">
        <v>145</v>
      </c>
      <c r="H475" s="149"/>
    </row>
    <row r="476" spans="1:8" ht="18.75" customHeight="1">
      <c r="A476" s="109" t="s">
        <v>889</v>
      </c>
      <c r="B476" s="18" t="s">
        <v>392</v>
      </c>
      <c r="C476" s="18" t="s">
        <v>377</v>
      </c>
      <c r="D476" s="18" t="s">
        <v>890</v>
      </c>
      <c r="E476" s="18" t="s">
        <v>409</v>
      </c>
      <c r="F476" s="149">
        <f>G476</f>
        <v>287.5</v>
      </c>
      <c r="G476" s="336">
        <f>G477</f>
        <v>287.5</v>
      </c>
      <c r="H476" s="149"/>
    </row>
    <row r="477" spans="1:8" ht="36" customHeight="1">
      <c r="A477" s="54" t="s">
        <v>187</v>
      </c>
      <c r="B477" s="18" t="s">
        <v>392</v>
      </c>
      <c r="C477" s="18" t="s">
        <v>377</v>
      </c>
      <c r="D477" s="18" t="s">
        <v>890</v>
      </c>
      <c r="E477" s="18" t="s">
        <v>155</v>
      </c>
      <c r="F477" s="149">
        <f>G477</f>
        <v>287.5</v>
      </c>
      <c r="G477" s="336">
        <f>G478</f>
        <v>287.5</v>
      </c>
      <c r="H477" s="149"/>
    </row>
    <row r="478" spans="1:8" ht="46.5" customHeight="1">
      <c r="A478" s="109" t="s">
        <v>188</v>
      </c>
      <c r="B478" s="18" t="s">
        <v>392</v>
      </c>
      <c r="C478" s="18" t="s">
        <v>377</v>
      </c>
      <c r="D478" s="18" t="s">
        <v>890</v>
      </c>
      <c r="E478" s="18" t="s">
        <v>189</v>
      </c>
      <c r="F478" s="149">
        <f>G478</f>
        <v>287.5</v>
      </c>
      <c r="G478" s="336">
        <v>287.5</v>
      </c>
      <c r="H478" s="149"/>
    </row>
    <row r="479" spans="1:10" s="445" customFormat="1" ht="81.75" customHeight="1">
      <c r="A479" s="142" t="s">
        <v>686</v>
      </c>
      <c r="B479" s="41" t="s">
        <v>392</v>
      </c>
      <c r="C479" s="41" t="s">
        <v>377</v>
      </c>
      <c r="D479" s="41" t="s">
        <v>694</v>
      </c>
      <c r="E479" s="41" t="s">
        <v>409</v>
      </c>
      <c r="F479" s="294">
        <f aca="true" t="shared" si="14" ref="F479:F484">G479+H479</f>
        <v>1865.848</v>
      </c>
      <c r="G479" s="294">
        <v>0</v>
      </c>
      <c r="H479" s="294">
        <f>H480+H482</f>
        <v>1865.848</v>
      </c>
      <c r="J479" s="451"/>
    </row>
    <row r="480" spans="1:8" s="400" customFormat="1" ht="97.5" customHeight="1">
      <c r="A480" s="54" t="s">
        <v>184</v>
      </c>
      <c r="B480" s="18" t="s">
        <v>392</v>
      </c>
      <c r="C480" s="18" t="s">
        <v>377</v>
      </c>
      <c r="D480" s="18" t="s">
        <v>694</v>
      </c>
      <c r="E480" s="18" t="s">
        <v>151</v>
      </c>
      <c r="F480" s="149">
        <f t="shared" si="14"/>
        <v>1311.899</v>
      </c>
      <c r="G480" s="149"/>
      <c r="H480" s="149">
        <f>H481</f>
        <v>1311.899</v>
      </c>
    </row>
    <row r="481" spans="1:8" s="400" customFormat="1" ht="31.5" customHeight="1">
      <c r="A481" s="109" t="s">
        <v>186</v>
      </c>
      <c r="B481" s="18" t="s">
        <v>392</v>
      </c>
      <c r="C481" s="18" t="s">
        <v>377</v>
      </c>
      <c r="D481" s="18" t="s">
        <v>694</v>
      </c>
      <c r="E481" s="18" t="s">
        <v>185</v>
      </c>
      <c r="F481" s="149">
        <f t="shared" si="14"/>
        <v>1311.899</v>
      </c>
      <c r="G481" s="149"/>
      <c r="H481" s="149">
        <v>1311.899</v>
      </c>
    </row>
    <row r="482" spans="1:8" s="400" customFormat="1" ht="35.25" customHeight="1">
      <c r="A482" s="54" t="s">
        <v>187</v>
      </c>
      <c r="B482" s="18" t="s">
        <v>392</v>
      </c>
      <c r="C482" s="18" t="s">
        <v>377</v>
      </c>
      <c r="D482" s="18" t="s">
        <v>694</v>
      </c>
      <c r="E482" s="18" t="s">
        <v>155</v>
      </c>
      <c r="F482" s="149">
        <f t="shared" si="14"/>
        <v>553.949</v>
      </c>
      <c r="G482" s="149"/>
      <c r="H482" s="149">
        <f>H483</f>
        <v>553.949</v>
      </c>
    </row>
    <row r="483" spans="1:8" s="400" customFormat="1" ht="48" customHeight="1">
      <c r="A483" s="109" t="s">
        <v>188</v>
      </c>
      <c r="B483" s="18" t="s">
        <v>392</v>
      </c>
      <c r="C483" s="18" t="s">
        <v>377</v>
      </c>
      <c r="D483" s="18" t="s">
        <v>694</v>
      </c>
      <c r="E483" s="18" t="s">
        <v>189</v>
      </c>
      <c r="F483" s="149">
        <f t="shared" si="14"/>
        <v>553.949</v>
      </c>
      <c r="G483" s="149"/>
      <c r="H483" s="149">
        <v>553.949</v>
      </c>
    </row>
    <row r="484" spans="1:10" s="409" customFormat="1" ht="16.5" customHeight="1">
      <c r="A484" s="150" t="s">
        <v>183</v>
      </c>
      <c r="B484" s="24" t="s">
        <v>380</v>
      </c>
      <c r="C484" s="24" t="s">
        <v>147</v>
      </c>
      <c r="D484" s="24" t="s">
        <v>320</v>
      </c>
      <c r="E484" s="24" t="s">
        <v>409</v>
      </c>
      <c r="F484" s="286">
        <f t="shared" si="14"/>
        <v>16779.96968</v>
      </c>
      <c r="G484" s="286">
        <f>G485+G514</f>
        <v>14549.796789999999</v>
      </c>
      <c r="H484" s="286">
        <f>H485+H514</f>
        <v>2230.17289</v>
      </c>
      <c r="I484" s="410"/>
      <c r="J484" s="425"/>
    </row>
    <row r="485" spans="1:11" s="415" customFormat="1" ht="18" customHeight="1">
      <c r="A485" s="108" t="s">
        <v>446</v>
      </c>
      <c r="B485" s="158" t="s">
        <v>380</v>
      </c>
      <c r="C485" s="158" t="s">
        <v>146</v>
      </c>
      <c r="D485" s="158" t="s">
        <v>320</v>
      </c>
      <c r="E485" s="158" t="s">
        <v>409</v>
      </c>
      <c r="F485" s="297">
        <f t="shared" si="9"/>
        <v>15488.839479999999</v>
      </c>
      <c r="G485" s="297">
        <f>G486</f>
        <v>13458.666589999999</v>
      </c>
      <c r="H485" s="297">
        <f>H486</f>
        <v>2030.17289</v>
      </c>
      <c r="K485" s="419"/>
    </row>
    <row r="486" spans="1:10" s="405" customFormat="1" ht="49.5" customHeight="1">
      <c r="A486" s="59" t="s">
        <v>478</v>
      </c>
      <c r="B486" s="55" t="s">
        <v>380</v>
      </c>
      <c r="C486" s="55" t="s">
        <v>146</v>
      </c>
      <c r="D486" s="55" t="s">
        <v>74</v>
      </c>
      <c r="E486" s="55" t="s">
        <v>409</v>
      </c>
      <c r="F486" s="152">
        <f t="shared" si="9"/>
        <v>15488.839479999999</v>
      </c>
      <c r="G486" s="152">
        <f>G487+G494+G501+G504+G511+G492</f>
        <v>13458.666589999999</v>
      </c>
      <c r="H486" s="152">
        <f>H494+H504</f>
        <v>2030.17289</v>
      </c>
      <c r="I486" s="426"/>
      <c r="J486" s="509"/>
    </row>
    <row r="487" spans="1:11" s="392" customFormat="1" ht="69.75" customHeight="1">
      <c r="A487" s="121" t="s">
        <v>537</v>
      </c>
      <c r="B487" s="81" t="s">
        <v>380</v>
      </c>
      <c r="C487" s="81" t="s">
        <v>146</v>
      </c>
      <c r="D487" s="81" t="s">
        <v>75</v>
      </c>
      <c r="E487" s="81" t="s">
        <v>409</v>
      </c>
      <c r="F487" s="293">
        <f t="shared" si="9"/>
        <v>9525.5898</v>
      </c>
      <c r="G487" s="293">
        <f>G488+G490</f>
        <v>9525.5898</v>
      </c>
      <c r="H487" s="293"/>
      <c r="K487" s="427"/>
    </row>
    <row r="488" spans="1:8" ht="50.25" customHeight="1">
      <c r="A488" s="62" t="s">
        <v>210</v>
      </c>
      <c r="B488" s="17" t="s">
        <v>380</v>
      </c>
      <c r="C488" s="17" t="s">
        <v>146</v>
      </c>
      <c r="D488" s="17" t="s">
        <v>76</v>
      </c>
      <c r="E488" s="17" t="s">
        <v>211</v>
      </c>
      <c r="F488" s="149">
        <f t="shared" si="9"/>
        <v>7905.5898</v>
      </c>
      <c r="G488" s="149">
        <f>G489</f>
        <v>7905.5898</v>
      </c>
      <c r="H488" s="149"/>
    </row>
    <row r="489" spans="1:8" ht="18" customHeight="1">
      <c r="A489" s="54" t="s">
        <v>212</v>
      </c>
      <c r="B489" s="18" t="s">
        <v>380</v>
      </c>
      <c r="C489" s="18" t="s">
        <v>146</v>
      </c>
      <c r="D489" s="18" t="s">
        <v>77</v>
      </c>
      <c r="E489" s="18" t="s">
        <v>287</v>
      </c>
      <c r="F489" s="149">
        <f t="shared" si="9"/>
        <v>7905.5898</v>
      </c>
      <c r="G489" s="149">
        <f>5802.65+100+72.86+25+150-0.0202+1755.1</f>
        <v>7905.5898</v>
      </c>
      <c r="H489" s="149"/>
    </row>
    <row r="490" spans="1:8" ht="112.5" customHeight="1">
      <c r="A490" s="54" t="s">
        <v>96</v>
      </c>
      <c r="B490" s="18" t="s">
        <v>380</v>
      </c>
      <c r="C490" s="18" t="s">
        <v>146</v>
      </c>
      <c r="D490" s="18" t="s">
        <v>95</v>
      </c>
      <c r="E490" s="18" t="s">
        <v>287</v>
      </c>
      <c r="F490" s="149">
        <f t="shared" si="9"/>
        <v>1620</v>
      </c>
      <c r="G490" s="149">
        <f>G491</f>
        <v>1620</v>
      </c>
      <c r="H490" s="149"/>
    </row>
    <row r="491" spans="1:8" ht="18" customHeight="1">
      <c r="A491" s="54" t="s">
        <v>212</v>
      </c>
      <c r="B491" s="18" t="s">
        <v>380</v>
      </c>
      <c r="C491" s="18" t="s">
        <v>146</v>
      </c>
      <c r="D491" s="18" t="s">
        <v>95</v>
      </c>
      <c r="E491" s="18" t="s">
        <v>287</v>
      </c>
      <c r="F491" s="149">
        <f>G491+H491</f>
        <v>1620</v>
      </c>
      <c r="G491" s="149">
        <f>1101.5+518.5</f>
        <v>1620</v>
      </c>
      <c r="H491" s="149"/>
    </row>
    <row r="492" spans="1:8" ht="102.75" customHeight="1" hidden="1">
      <c r="A492" s="337" t="s">
        <v>781</v>
      </c>
      <c r="B492" s="123" t="s">
        <v>380</v>
      </c>
      <c r="C492" s="123" t="s">
        <v>146</v>
      </c>
      <c r="D492" s="123" t="s">
        <v>810</v>
      </c>
      <c r="E492" s="123" t="s">
        <v>409</v>
      </c>
      <c r="F492" s="287">
        <f>G492</f>
        <v>0</v>
      </c>
      <c r="G492" s="287">
        <f>G493</f>
        <v>0</v>
      </c>
      <c r="H492" s="287"/>
    </row>
    <row r="493" spans="1:8" ht="21" customHeight="1" hidden="1">
      <c r="A493" s="337" t="s">
        <v>212</v>
      </c>
      <c r="B493" s="123" t="s">
        <v>380</v>
      </c>
      <c r="C493" s="123" t="s">
        <v>146</v>
      </c>
      <c r="D493" s="123" t="s">
        <v>810</v>
      </c>
      <c r="E493" s="123" t="s">
        <v>287</v>
      </c>
      <c r="F493" s="287">
        <f>G493</f>
        <v>0</v>
      </c>
      <c r="G493" s="287">
        <f>25-25</f>
        <v>0</v>
      </c>
      <c r="H493" s="287"/>
    </row>
    <row r="494" spans="1:8" ht="77.25" customHeight="1">
      <c r="A494" s="143" t="s">
        <v>588</v>
      </c>
      <c r="B494" s="41" t="s">
        <v>380</v>
      </c>
      <c r="C494" s="41" t="s">
        <v>146</v>
      </c>
      <c r="D494" s="41" t="s">
        <v>75</v>
      </c>
      <c r="E494" s="41" t="s">
        <v>409</v>
      </c>
      <c r="F494" s="294">
        <f>G494+H494</f>
        <v>1821.94949</v>
      </c>
      <c r="G494" s="294">
        <f>G495+G498</f>
        <v>18.21949</v>
      </c>
      <c r="H494" s="294">
        <f>H495</f>
        <v>1803.73</v>
      </c>
    </row>
    <row r="495" spans="1:8" ht="79.5" customHeight="1">
      <c r="A495" s="59" t="s">
        <v>589</v>
      </c>
      <c r="B495" s="55" t="s">
        <v>380</v>
      </c>
      <c r="C495" s="55" t="s">
        <v>146</v>
      </c>
      <c r="D495" s="55" t="s">
        <v>590</v>
      </c>
      <c r="E495" s="55" t="s">
        <v>409</v>
      </c>
      <c r="F495" s="152">
        <f>G495+H495</f>
        <v>1803.73</v>
      </c>
      <c r="G495" s="152">
        <f>G496</f>
        <v>0</v>
      </c>
      <c r="H495" s="152">
        <f>H496</f>
        <v>1803.73</v>
      </c>
    </row>
    <row r="496" spans="1:8" ht="48.75" customHeight="1">
      <c r="A496" s="54" t="s">
        <v>210</v>
      </c>
      <c r="B496" s="18" t="s">
        <v>380</v>
      </c>
      <c r="C496" s="18" t="s">
        <v>146</v>
      </c>
      <c r="D496" s="18" t="s">
        <v>590</v>
      </c>
      <c r="E496" s="18" t="s">
        <v>211</v>
      </c>
      <c r="F496" s="149">
        <f>G496+H496</f>
        <v>1803.73</v>
      </c>
      <c r="G496" s="149">
        <f>G497</f>
        <v>0</v>
      </c>
      <c r="H496" s="149">
        <f>H497</f>
        <v>1803.73</v>
      </c>
    </row>
    <row r="497" spans="1:8" ht="20.25" customHeight="1">
      <c r="A497" s="54" t="s">
        <v>212</v>
      </c>
      <c r="B497" s="18" t="s">
        <v>380</v>
      </c>
      <c r="C497" s="18" t="s">
        <v>146</v>
      </c>
      <c r="D497" s="18" t="s">
        <v>590</v>
      </c>
      <c r="E497" s="18" t="s">
        <v>287</v>
      </c>
      <c r="F497" s="149">
        <f>G497+H497</f>
        <v>1803.73</v>
      </c>
      <c r="G497" s="149"/>
      <c r="H497" s="149">
        <v>1803.73</v>
      </c>
    </row>
    <row r="498" spans="1:8" ht="128.25" customHeight="1">
      <c r="A498" s="59" t="s">
        <v>611</v>
      </c>
      <c r="B498" s="55" t="s">
        <v>380</v>
      </c>
      <c r="C498" s="55" t="s">
        <v>146</v>
      </c>
      <c r="D498" s="55" t="s">
        <v>591</v>
      </c>
      <c r="E498" s="55" t="s">
        <v>409</v>
      </c>
      <c r="F498" s="152">
        <f>G498</f>
        <v>18.21949</v>
      </c>
      <c r="G498" s="152">
        <f>G499</f>
        <v>18.21949</v>
      </c>
      <c r="H498" s="152"/>
    </row>
    <row r="499" spans="1:8" ht="51.75" customHeight="1">
      <c r="A499" s="54" t="s">
        <v>210</v>
      </c>
      <c r="B499" s="18" t="s">
        <v>380</v>
      </c>
      <c r="C499" s="18" t="s">
        <v>146</v>
      </c>
      <c r="D499" s="18" t="s">
        <v>591</v>
      </c>
      <c r="E499" s="18" t="s">
        <v>211</v>
      </c>
      <c r="F499" s="149">
        <f>G499</f>
        <v>18.21949</v>
      </c>
      <c r="G499" s="149">
        <f>G500</f>
        <v>18.21949</v>
      </c>
      <c r="H499" s="149"/>
    </row>
    <row r="500" spans="1:8" ht="23.25" customHeight="1">
      <c r="A500" s="54" t="s">
        <v>212</v>
      </c>
      <c r="B500" s="18" t="s">
        <v>380</v>
      </c>
      <c r="C500" s="18" t="s">
        <v>146</v>
      </c>
      <c r="D500" s="18" t="s">
        <v>591</v>
      </c>
      <c r="E500" s="18" t="s">
        <v>287</v>
      </c>
      <c r="F500" s="149">
        <f>G500</f>
        <v>18.21949</v>
      </c>
      <c r="G500" s="149">
        <f>18.21949+2-2</f>
        <v>18.21949</v>
      </c>
      <c r="H500" s="149"/>
    </row>
    <row r="501" spans="1:8" s="392" customFormat="1" ht="72.75" customHeight="1">
      <c r="A501" s="60" t="s">
        <v>538</v>
      </c>
      <c r="B501" s="18" t="s">
        <v>380</v>
      </c>
      <c r="C501" s="18" t="s">
        <v>146</v>
      </c>
      <c r="D501" s="18" t="s">
        <v>78</v>
      </c>
      <c r="E501" s="18" t="s">
        <v>409</v>
      </c>
      <c r="F501" s="149">
        <f>G501+H501</f>
        <v>2488.2400000000002</v>
      </c>
      <c r="G501" s="149">
        <f>G502</f>
        <v>2488.2400000000002</v>
      </c>
      <c r="H501" s="149"/>
    </row>
    <row r="502" spans="1:8" ht="48" customHeight="1">
      <c r="A502" s="62" t="s">
        <v>210</v>
      </c>
      <c r="B502" s="17" t="s">
        <v>380</v>
      </c>
      <c r="C502" s="17" t="s">
        <v>146</v>
      </c>
      <c r="D502" s="18" t="s">
        <v>78</v>
      </c>
      <c r="E502" s="17" t="s">
        <v>211</v>
      </c>
      <c r="F502" s="149">
        <f>G502+H502</f>
        <v>2488.2400000000002</v>
      </c>
      <c r="G502" s="149">
        <f>G503</f>
        <v>2488.2400000000002</v>
      </c>
      <c r="H502" s="149"/>
    </row>
    <row r="503" spans="1:8" ht="18" customHeight="1">
      <c r="A503" s="62" t="s">
        <v>212</v>
      </c>
      <c r="B503" s="17" t="s">
        <v>380</v>
      </c>
      <c r="C503" s="17" t="s">
        <v>146</v>
      </c>
      <c r="D503" s="18" t="s">
        <v>78</v>
      </c>
      <c r="E503" s="17" t="s">
        <v>287</v>
      </c>
      <c r="F503" s="149">
        <f>G503+H503</f>
        <v>2488.2400000000002</v>
      </c>
      <c r="G503" s="149">
        <f>1566.14+610.1+67+245</f>
        <v>2488.2400000000002</v>
      </c>
      <c r="H503" s="149"/>
    </row>
    <row r="504" spans="1:8" ht="66.75" customHeight="1">
      <c r="A504" s="159" t="s">
        <v>592</v>
      </c>
      <c r="B504" s="160" t="s">
        <v>380</v>
      </c>
      <c r="C504" s="160" t="s">
        <v>146</v>
      </c>
      <c r="D504" s="160" t="s">
        <v>593</v>
      </c>
      <c r="E504" s="160" t="s">
        <v>409</v>
      </c>
      <c r="F504" s="219">
        <f>G504+H504</f>
        <v>228.73019</v>
      </c>
      <c r="G504" s="219">
        <f>G508</f>
        <v>2.2873</v>
      </c>
      <c r="H504" s="219">
        <f>H505</f>
        <v>226.44289</v>
      </c>
    </row>
    <row r="505" spans="1:8" ht="75" customHeight="1">
      <c r="A505" s="103" t="s">
        <v>612</v>
      </c>
      <c r="B505" s="122" t="s">
        <v>380</v>
      </c>
      <c r="C505" s="122" t="s">
        <v>146</v>
      </c>
      <c r="D505" s="122" t="s">
        <v>594</v>
      </c>
      <c r="E505" s="122" t="s">
        <v>409</v>
      </c>
      <c r="F505" s="152">
        <f>H505</f>
        <v>226.44289</v>
      </c>
      <c r="G505" s="152"/>
      <c r="H505" s="152">
        <f>H506</f>
        <v>226.44289</v>
      </c>
    </row>
    <row r="506" spans="1:8" ht="48.75" customHeight="1">
      <c r="A506" s="80" t="s">
        <v>210</v>
      </c>
      <c r="B506" s="81" t="s">
        <v>380</v>
      </c>
      <c r="C506" s="81" t="s">
        <v>146</v>
      </c>
      <c r="D506" s="81" t="s">
        <v>594</v>
      </c>
      <c r="E506" s="81" t="s">
        <v>211</v>
      </c>
      <c r="F506" s="149">
        <f>H506</f>
        <v>226.44289</v>
      </c>
      <c r="G506" s="149"/>
      <c r="H506" s="149">
        <f>H507</f>
        <v>226.44289</v>
      </c>
    </row>
    <row r="507" spans="1:8" ht="24.75" customHeight="1">
      <c r="A507" s="80" t="s">
        <v>212</v>
      </c>
      <c r="B507" s="81" t="s">
        <v>380</v>
      </c>
      <c r="C507" s="81" t="s">
        <v>146</v>
      </c>
      <c r="D507" s="81" t="s">
        <v>594</v>
      </c>
      <c r="E507" s="81" t="s">
        <v>287</v>
      </c>
      <c r="F507" s="149">
        <f>H507</f>
        <v>226.44289</v>
      </c>
      <c r="G507" s="149"/>
      <c r="H507" s="149">
        <v>226.44289</v>
      </c>
    </row>
    <row r="508" spans="1:12" ht="108" customHeight="1">
      <c r="A508" s="103" t="s">
        <v>613</v>
      </c>
      <c r="B508" s="122" t="s">
        <v>380</v>
      </c>
      <c r="C508" s="122" t="s">
        <v>146</v>
      </c>
      <c r="D508" s="122" t="s">
        <v>595</v>
      </c>
      <c r="E508" s="122" t="s">
        <v>409</v>
      </c>
      <c r="F508" s="152">
        <f>G508</f>
        <v>2.2873</v>
      </c>
      <c r="G508" s="152">
        <f>G509</f>
        <v>2.2873</v>
      </c>
      <c r="H508" s="152"/>
      <c r="L508" s="428"/>
    </row>
    <row r="509" spans="1:9" ht="48.75" customHeight="1">
      <c r="A509" s="80" t="s">
        <v>210</v>
      </c>
      <c r="B509" s="81" t="s">
        <v>380</v>
      </c>
      <c r="C509" s="81" t="s">
        <v>146</v>
      </c>
      <c r="D509" s="81" t="s">
        <v>595</v>
      </c>
      <c r="E509" s="81" t="s">
        <v>211</v>
      </c>
      <c r="F509" s="149">
        <f>G509</f>
        <v>2.2873</v>
      </c>
      <c r="G509" s="149">
        <f>G510</f>
        <v>2.2873</v>
      </c>
      <c r="H509" s="149"/>
      <c r="I509" s="429"/>
    </row>
    <row r="510" spans="1:11" ht="23.25" customHeight="1">
      <c r="A510" s="80" t="s">
        <v>212</v>
      </c>
      <c r="B510" s="81" t="s">
        <v>380</v>
      </c>
      <c r="C510" s="81" t="s">
        <v>146</v>
      </c>
      <c r="D510" s="81" t="s">
        <v>595</v>
      </c>
      <c r="E510" s="81" t="s">
        <v>287</v>
      </c>
      <c r="F510" s="149">
        <f>G510</f>
        <v>2.2873</v>
      </c>
      <c r="G510" s="149">
        <v>2.2873</v>
      </c>
      <c r="H510" s="149"/>
      <c r="I510" s="423"/>
      <c r="K510" s="7" t="e">
        <f>I510/J510</f>
        <v>#DIV/0!</v>
      </c>
    </row>
    <row r="511" spans="1:8" s="392" customFormat="1" ht="99" customHeight="1">
      <c r="A511" s="121" t="s">
        <v>539</v>
      </c>
      <c r="B511" s="81" t="s">
        <v>380</v>
      </c>
      <c r="C511" s="81" t="s">
        <v>146</v>
      </c>
      <c r="D511" s="81" t="s">
        <v>79</v>
      </c>
      <c r="E511" s="81" t="s">
        <v>409</v>
      </c>
      <c r="F511" s="149">
        <f>G511+H511</f>
        <v>1424.3300000000002</v>
      </c>
      <c r="G511" s="149">
        <f>G512</f>
        <v>1424.3300000000002</v>
      </c>
      <c r="H511" s="149"/>
    </row>
    <row r="512" spans="1:8" s="400" customFormat="1" ht="48.75" customHeight="1">
      <c r="A512" s="62" t="s">
        <v>210</v>
      </c>
      <c r="B512" s="17" t="s">
        <v>380</v>
      </c>
      <c r="C512" s="17" t="s">
        <v>146</v>
      </c>
      <c r="D512" s="18" t="s">
        <v>79</v>
      </c>
      <c r="E512" s="17" t="s">
        <v>211</v>
      </c>
      <c r="F512" s="149">
        <f>G512+H512</f>
        <v>1424.3300000000002</v>
      </c>
      <c r="G512" s="149">
        <f>G513</f>
        <v>1424.3300000000002</v>
      </c>
      <c r="H512" s="149"/>
    </row>
    <row r="513" spans="1:8" s="400" customFormat="1" ht="16.5" customHeight="1">
      <c r="A513" s="62" t="s">
        <v>212</v>
      </c>
      <c r="B513" s="17" t="s">
        <v>380</v>
      </c>
      <c r="C513" s="17" t="s">
        <v>146</v>
      </c>
      <c r="D513" s="18" t="s">
        <v>79</v>
      </c>
      <c r="E513" s="17" t="s">
        <v>287</v>
      </c>
      <c r="F513" s="149">
        <f>G513+H513</f>
        <v>1424.3300000000002</v>
      </c>
      <c r="G513" s="149">
        <f>1181.43+25+217.9</f>
        <v>1424.3300000000002</v>
      </c>
      <c r="H513" s="149"/>
    </row>
    <row r="514" spans="1:10" s="400" customFormat="1" ht="32.25" customHeight="1">
      <c r="A514" s="153" t="s">
        <v>5</v>
      </c>
      <c r="B514" s="154" t="s">
        <v>380</v>
      </c>
      <c r="C514" s="154" t="s">
        <v>157</v>
      </c>
      <c r="D514" s="154" t="s">
        <v>320</v>
      </c>
      <c r="E514" s="154" t="s">
        <v>409</v>
      </c>
      <c r="F514" s="288">
        <f>G514+H514</f>
        <v>1291.1302</v>
      </c>
      <c r="G514" s="288">
        <f>G515+G526+G529+G534+G537</f>
        <v>1091.1302</v>
      </c>
      <c r="H514" s="288">
        <f>H515+H526+H529+H534+H537</f>
        <v>200</v>
      </c>
      <c r="J514" s="430"/>
    </row>
    <row r="515" spans="1:10" s="400" customFormat="1" ht="50.25" customHeight="1">
      <c r="A515" s="59" t="s">
        <v>478</v>
      </c>
      <c r="B515" s="55" t="s">
        <v>380</v>
      </c>
      <c r="C515" s="55" t="s">
        <v>157</v>
      </c>
      <c r="D515" s="55" t="s">
        <v>74</v>
      </c>
      <c r="E515" s="55" t="s">
        <v>409</v>
      </c>
      <c r="F515" s="152">
        <f>G515</f>
        <v>1019.9302</v>
      </c>
      <c r="G515" s="152">
        <f>G516+G519</f>
        <v>1019.9302</v>
      </c>
      <c r="H515" s="152">
        <f>H516+H519</f>
        <v>200</v>
      </c>
      <c r="J515" s="430"/>
    </row>
    <row r="516" spans="1:8" s="392" customFormat="1" ht="37.5" customHeight="1">
      <c r="A516" s="121" t="s">
        <v>540</v>
      </c>
      <c r="B516" s="18" t="s">
        <v>380</v>
      </c>
      <c r="C516" s="18" t="s">
        <v>157</v>
      </c>
      <c r="D516" s="18" t="s">
        <v>80</v>
      </c>
      <c r="E516" s="18" t="s">
        <v>409</v>
      </c>
      <c r="F516" s="149">
        <f aca="true" t="shared" si="15" ref="F516:F536">G516+H516</f>
        <v>1017.91</v>
      </c>
      <c r="G516" s="149">
        <f>G517</f>
        <v>1017.91</v>
      </c>
      <c r="H516" s="149"/>
    </row>
    <row r="517" spans="1:8" s="400" customFormat="1" ht="50.25" customHeight="1">
      <c r="A517" s="62" t="s">
        <v>210</v>
      </c>
      <c r="B517" s="17" t="s">
        <v>380</v>
      </c>
      <c r="C517" s="17" t="s">
        <v>157</v>
      </c>
      <c r="D517" s="18" t="s">
        <v>80</v>
      </c>
      <c r="E517" s="17" t="s">
        <v>211</v>
      </c>
      <c r="F517" s="149">
        <f t="shared" si="15"/>
        <v>1017.91</v>
      </c>
      <c r="G517" s="149">
        <f>G518</f>
        <v>1017.91</v>
      </c>
      <c r="H517" s="149"/>
    </row>
    <row r="518" spans="1:9" s="400" customFormat="1" ht="17.25" customHeight="1">
      <c r="A518" s="62" t="s">
        <v>212</v>
      </c>
      <c r="B518" s="17" t="s">
        <v>380</v>
      </c>
      <c r="C518" s="17" t="s">
        <v>157</v>
      </c>
      <c r="D518" s="18" t="s">
        <v>80</v>
      </c>
      <c r="E518" s="17" t="s">
        <v>287</v>
      </c>
      <c r="F518" s="149">
        <f t="shared" si="15"/>
        <v>1017.91</v>
      </c>
      <c r="G518" s="149">
        <f>897.91+20+100</f>
        <v>1017.91</v>
      </c>
      <c r="H518" s="149"/>
      <c r="I518" s="430"/>
    </row>
    <row r="519" spans="1:9" s="400" customFormat="1" ht="51" customHeight="1">
      <c r="A519" s="143" t="s">
        <v>918</v>
      </c>
      <c r="B519" s="41" t="s">
        <v>380</v>
      </c>
      <c r="C519" s="41" t="s">
        <v>157</v>
      </c>
      <c r="D519" s="41" t="s">
        <v>75</v>
      </c>
      <c r="E519" s="41" t="s">
        <v>409</v>
      </c>
      <c r="F519" s="294">
        <f>G519+H519</f>
        <v>202.0202</v>
      </c>
      <c r="G519" s="294">
        <f>G523</f>
        <v>2.0202</v>
      </c>
      <c r="H519" s="294">
        <f>H520</f>
        <v>200</v>
      </c>
      <c r="I519" s="430"/>
    </row>
    <row r="520" spans="1:9" s="400" customFormat="1" ht="66" customHeight="1">
      <c r="A520" s="54" t="s">
        <v>919</v>
      </c>
      <c r="B520" s="18" t="s">
        <v>380</v>
      </c>
      <c r="C520" s="18" t="s">
        <v>157</v>
      </c>
      <c r="D520" s="18" t="s">
        <v>921</v>
      </c>
      <c r="E520" s="18" t="s">
        <v>409</v>
      </c>
      <c r="F520" s="149">
        <f aca="true" t="shared" si="16" ref="F520:F525">G520+H520</f>
        <v>200</v>
      </c>
      <c r="G520" s="149"/>
      <c r="H520" s="149">
        <f>H521</f>
        <v>200</v>
      </c>
      <c r="I520" s="430"/>
    </row>
    <row r="521" spans="1:9" s="400" customFormat="1" ht="48.75" customHeight="1">
      <c r="A521" s="54" t="s">
        <v>210</v>
      </c>
      <c r="B521" s="18" t="s">
        <v>380</v>
      </c>
      <c r="C521" s="18" t="s">
        <v>157</v>
      </c>
      <c r="D521" s="18" t="s">
        <v>921</v>
      </c>
      <c r="E521" s="18" t="s">
        <v>211</v>
      </c>
      <c r="F521" s="149">
        <f t="shared" si="16"/>
        <v>200</v>
      </c>
      <c r="G521" s="149"/>
      <c r="H521" s="149">
        <f>H522</f>
        <v>200</v>
      </c>
      <c r="I521" s="430"/>
    </row>
    <row r="522" spans="1:9" s="400" customFormat="1" ht="22.5" customHeight="1">
      <c r="A522" s="54" t="s">
        <v>212</v>
      </c>
      <c r="B522" s="18" t="s">
        <v>380</v>
      </c>
      <c r="C522" s="18" t="s">
        <v>157</v>
      </c>
      <c r="D522" s="18" t="s">
        <v>921</v>
      </c>
      <c r="E522" s="18" t="s">
        <v>287</v>
      </c>
      <c r="F522" s="149">
        <f t="shared" si="16"/>
        <v>200</v>
      </c>
      <c r="G522" s="149"/>
      <c r="H522" s="149">
        <v>200</v>
      </c>
      <c r="I522" s="430"/>
    </row>
    <row r="523" spans="1:9" s="400" customFormat="1" ht="84" customHeight="1">
      <c r="A523" s="54" t="s">
        <v>920</v>
      </c>
      <c r="B523" s="18" t="s">
        <v>380</v>
      </c>
      <c r="C523" s="18" t="s">
        <v>157</v>
      </c>
      <c r="D523" s="18" t="s">
        <v>922</v>
      </c>
      <c r="E523" s="18" t="s">
        <v>409</v>
      </c>
      <c r="F523" s="149">
        <f t="shared" si="16"/>
        <v>2.0202</v>
      </c>
      <c r="G523" s="149">
        <f>G524</f>
        <v>2.0202</v>
      </c>
      <c r="H523" s="149"/>
      <c r="I523" s="430"/>
    </row>
    <row r="524" spans="1:9" s="400" customFormat="1" ht="51" customHeight="1">
      <c r="A524" s="54" t="s">
        <v>210</v>
      </c>
      <c r="B524" s="18" t="s">
        <v>380</v>
      </c>
      <c r="C524" s="18" t="s">
        <v>157</v>
      </c>
      <c r="D524" s="18" t="s">
        <v>922</v>
      </c>
      <c r="E524" s="18" t="s">
        <v>211</v>
      </c>
      <c r="F524" s="149">
        <f t="shared" si="16"/>
        <v>2.0202</v>
      </c>
      <c r="G524" s="149">
        <f>G525</f>
        <v>2.0202</v>
      </c>
      <c r="H524" s="149"/>
      <c r="I524" s="430"/>
    </row>
    <row r="525" spans="1:9" s="400" customFormat="1" ht="18.75" customHeight="1">
      <c r="A525" s="54" t="s">
        <v>212</v>
      </c>
      <c r="B525" s="18" t="s">
        <v>380</v>
      </c>
      <c r="C525" s="18" t="s">
        <v>157</v>
      </c>
      <c r="D525" s="18" t="s">
        <v>922</v>
      </c>
      <c r="E525" s="18" t="s">
        <v>287</v>
      </c>
      <c r="F525" s="149">
        <f t="shared" si="16"/>
        <v>2.0202</v>
      </c>
      <c r="G525" s="149">
        <v>2.0202</v>
      </c>
      <c r="H525" s="149"/>
      <c r="I525" s="430"/>
    </row>
    <row r="526" spans="1:8" s="405" customFormat="1" ht="48" customHeight="1">
      <c r="A526" s="59" t="s">
        <v>473</v>
      </c>
      <c r="B526" s="55" t="s">
        <v>380</v>
      </c>
      <c r="C526" s="55" t="s">
        <v>157</v>
      </c>
      <c r="D526" s="55" t="s">
        <v>29</v>
      </c>
      <c r="E526" s="55" t="s">
        <v>409</v>
      </c>
      <c r="F526" s="152">
        <f t="shared" si="15"/>
        <v>39</v>
      </c>
      <c r="G526" s="152">
        <f>G527</f>
        <v>39</v>
      </c>
      <c r="H526" s="152">
        <f>H527</f>
        <v>0</v>
      </c>
    </row>
    <row r="527" spans="1:8" s="392" customFormat="1" ht="33.75" customHeight="1">
      <c r="A527" s="60" t="s">
        <v>81</v>
      </c>
      <c r="B527" s="18" t="s">
        <v>380</v>
      </c>
      <c r="C527" s="18" t="s">
        <v>157</v>
      </c>
      <c r="D527" s="18" t="s">
        <v>30</v>
      </c>
      <c r="E527" s="18" t="s">
        <v>409</v>
      </c>
      <c r="F527" s="149">
        <f t="shared" si="15"/>
        <v>39</v>
      </c>
      <c r="G527" s="149">
        <f>G528</f>
        <v>39</v>
      </c>
      <c r="H527" s="149">
        <f>H528</f>
        <v>0</v>
      </c>
    </row>
    <row r="528" spans="1:8" s="400" customFormat="1" ht="17.25" customHeight="1">
      <c r="A528" s="62" t="s">
        <v>212</v>
      </c>
      <c r="B528" s="18" t="s">
        <v>380</v>
      </c>
      <c r="C528" s="18" t="s">
        <v>157</v>
      </c>
      <c r="D528" s="18" t="s">
        <v>82</v>
      </c>
      <c r="E528" s="18" t="s">
        <v>287</v>
      </c>
      <c r="F528" s="149">
        <f t="shared" si="15"/>
        <v>39</v>
      </c>
      <c r="G528" s="149">
        <v>39</v>
      </c>
      <c r="H528" s="149"/>
    </row>
    <row r="529" spans="1:8" s="405" customFormat="1" ht="64.5" customHeight="1">
      <c r="A529" s="59" t="s">
        <v>475</v>
      </c>
      <c r="B529" s="55" t="s">
        <v>380</v>
      </c>
      <c r="C529" s="55" t="s">
        <v>157</v>
      </c>
      <c r="D529" s="55" t="s">
        <v>69</v>
      </c>
      <c r="E529" s="55" t="s">
        <v>409</v>
      </c>
      <c r="F529" s="152">
        <f t="shared" si="15"/>
        <v>2</v>
      </c>
      <c r="G529" s="152">
        <f>G530</f>
        <v>2</v>
      </c>
      <c r="H529" s="152">
        <f>H530</f>
        <v>0</v>
      </c>
    </row>
    <row r="530" spans="1:8" s="431" customFormat="1" ht="33.75" customHeight="1">
      <c r="A530" s="62" t="s">
        <v>340</v>
      </c>
      <c r="B530" s="18" t="s">
        <v>380</v>
      </c>
      <c r="C530" s="18" t="s">
        <v>157</v>
      </c>
      <c r="D530" s="18" t="s">
        <v>83</v>
      </c>
      <c r="E530" s="18" t="s">
        <v>287</v>
      </c>
      <c r="F530" s="149">
        <f t="shared" si="15"/>
        <v>2</v>
      </c>
      <c r="G530" s="149">
        <v>2</v>
      </c>
      <c r="H530" s="294"/>
    </row>
    <row r="531" spans="1:8" s="431" customFormat="1" ht="48" customHeight="1" hidden="1">
      <c r="A531" s="87" t="s">
        <v>436</v>
      </c>
      <c r="B531" s="55" t="s">
        <v>380</v>
      </c>
      <c r="C531" s="55" t="s">
        <v>157</v>
      </c>
      <c r="D531" s="55" t="s">
        <v>39</v>
      </c>
      <c r="E531" s="55" t="s">
        <v>409</v>
      </c>
      <c r="F531" s="152">
        <f t="shared" si="15"/>
        <v>0</v>
      </c>
      <c r="G531" s="152">
        <f>G532</f>
        <v>0</v>
      </c>
      <c r="H531" s="152">
        <f>H533</f>
        <v>0</v>
      </c>
    </row>
    <row r="532" spans="1:8" ht="35.25" customHeight="1" hidden="1">
      <c r="A532" s="62" t="s">
        <v>340</v>
      </c>
      <c r="B532" s="18" t="s">
        <v>380</v>
      </c>
      <c r="C532" s="18" t="s">
        <v>157</v>
      </c>
      <c r="D532" s="81" t="s">
        <v>500</v>
      </c>
      <c r="E532" s="18" t="s">
        <v>287</v>
      </c>
      <c r="F532" s="152">
        <f t="shared" si="15"/>
        <v>0</v>
      </c>
      <c r="G532" s="149"/>
      <c r="H532" s="418"/>
    </row>
    <row r="533" spans="1:8" ht="35.25" customHeight="1" hidden="1">
      <c r="A533" s="54" t="s">
        <v>508</v>
      </c>
      <c r="B533" s="18" t="s">
        <v>380</v>
      </c>
      <c r="C533" s="18" t="s">
        <v>157</v>
      </c>
      <c r="D533" s="123" t="s">
        <v>500</v>
      </c>
      <c r="E533" s="18" t="s">
        <v>287</v>
      </c>
      <c r="F533" s="149">
        <f t="shared" si="15"/>
        <v>0</v>
      </c>
      <c r="G533" s="149">
        <v>0</v>
      </c>
      <c r="H533" s="290"/>
    </row>
    <row r="534" spans="1:8" ht="81" customHeight="1">
      <c r="A534" s="59" t="s">
        <v>529</v>
      </c>
      <c r="B534" s="55" t="s">
        <v>380</v>
      </c>
      <c r="C534" s="55" t="s">
        <v>157</v>
      </c>
      <c r="D534" s="55" t="s">
        <v>527</v>
      </c>
      <c r="E534" s="55" t="s">
        <v>409</v>
      </c>
      <c r="F534" s="152">
        <f t="shared" si="15"/>
        <v>30.2</v>
      </c>
      <c r="G534" s="152">
        <f>G535</f>
        <v>30.2</v>
      </c>
      <c r="H534" s="346"/>
    </row>
    <row r="535" spans="1:8" ht="49.5" customHeight="1">
      <c r="A535" s="54" t="s">
        <v>210</v>
      </c>
      <c r="B535" s="18" t="s">
        <v>380</v>
      </c>
      <c r="C535" s="18" t="s">
        <v>157</v>
      </c>
      <c r="D535" s="18" t="s">
        <v>882</v>
      </c>
      <c r="E535" s="18" t="s">
        <v>211</v>
      </c>
      <c r="F535" s="149">
        <f t="shared" si="15"/>
        <v>30.2</v>
      </c>
      <c r="G535" s="149">
        <f>G536</f>
        <v>30.2</v>
      </c>
      <c r="H535" s="290"/>
    </row>
    <row r="536" spans="1:8" ht="27" customHeight="1">
      <c r="A536" s="54" t="s">
        <v>212</v>
      </c>
      <c r="B536" s="18" t="s">
        <v>380</v>
      </c>
      <c r="C536" s="18" t="s">
        <v>157</v>
      </c>
      <c r="D536" s="18" t="s">
        <v>882</v>
      </c>
      <c r="E536" s="18" t="s">
        <v>287</v>
      </c>
      <c r="F536" s="149">
        <f t="shared" si="15"/>
        <v>30.2</v>
      </c>
      <c r="G536" s="149">
        <v>30.2</v>
      </c>
      <c r="H536" s="290"/>
    </row>
    <row r="537" spans="1:9" ht="51" customHeight="1" hidden="1">
      <c r="A537" s="103" t="s">
        <v>478</v>
      </c>
      <c r="B537" s="122" t="s">
        <v>380</v>
      </c>
      <c r="C537" s="122" t="s">
        <v>157</v>
      </c>
      <c r="D537" s="122" t="s">
        <v>74</v>
      </c>
      <c r="E537" s="122" t="s">
        <v>409</v>
      </c>
      <c r="F537" s="299">
        <f aca="true" t="shared" si="17" ref="F537:F542">G537</f>
        <v>0</v>
      </c>
      <c r="G537" s="299">
        <f>G538</f>
        <v>0</v>
      </c>
      <c r="H537" s="424"/>
      <c r="I537" s="413"/>
    </row>
    <row r="538" spans="1:8" ht="71.25" customHeight="1" hidden="1">
      <c r="A538" s="121" t="s">
        <v>541</v>
      </c>
      <c r="B538" s="81" t="s">
        <v>380</v>
      </c>
      <c r="C538" s="81" t="s">
        <v>157</v>
      </c>
      <c r="D538" s="81" t="s">
        <v>503</v>
      </c>
      <c r="E538" s="81" t="s">
        <v>409</v>
      </c>
      <c r="F538" s="293">
        <f t="shared" si="17"/>
        <v>0</v>
      </c>
      <c r="G538" s="293">
        <f>G539+G541</f>
        <v>0</v>
      </c>
      <c r="H538" s="424"/>
    </row>
    <row r="539" spans="1:8" ht="44.25" customHeight="1" hidden="1">
      <c r="A539" s="80" t="s">
        <v>184</v>
      </c>
      <c r="B539" s="81" t="s">
        <v>380</v>
      </c>
      <c r="C539" s="81" t="s">
        <v>157</v>
      </c>
      <c r="D539" s="81" t="s">
        <v>503</v>
      </c>
      <c r="E539" s="81" t="s">
        <v>151</v>
      </c>
      <c r="F539" s="293">
        <f t="shared" si="17"/>
        <v>0</v>
      </c>
      <c r="G539" s="293">
        <f>G540</f>
        <v>0</v>
      </c>
      <c r="H539" s="424"/>
    </row>
    <row r="540" spans="1:8" ht="33" customHeight="1" hidden="1">
      <c r="A540" s="80" t="s">
        <v>200</v>
      </c>
      <c r="B540" s="81" t="s">
        <v>380</v>
      </c>
      <c r="C540" s="81" t="s">
        <v>157</v>
      </c>
      <c r="D540" s="81" t="s">
        <v>503</v>
      </c>
      <c r="E540" s="81" t="s">
        <v>158</v>
      </c>
      <c r="F540" s="293">
        <f t="shared" si="17"/>
        <v>0</v>
      </c>
      <c r="G540" s="149">
        <v>0</v>
      </c>
      <c r="H540" s="424"/>
    </row>
    <row r="541" spans="1:8" ht="39.75" customHeight="1" hidden="1">
      <c r="A541" s="80" t="s">
        <v>187</v>
      </c>
      <c r="B541" s="81" t="s">
        <v>380</v>
      </c>
      <c r="C541" s="81" t="s">
        <v>157</v>
      </c>
      <c r="D541" s="81" t="s">
        <v>503</v>
      </c>
      <c r="E541" s="81" t="s">
        <v>155</v>
      </c>
      <c r="F541" s="293">
        <f t="shared" si="17"/>
        <v>0</v>
      </c>
      <c r="G541" s="149">
        <f>G542</f>
        <v>0</v>
      </c>
      <c r="H541" s="424"/>
    </row>
    <row r="542" spans="1:8" ht="47.25" customHeight="1" hidden="1">
      <c r="A542" s="136" t="s">
        <v>188</v>
      </c>
      <c r="B542" s="81" t="s">
        <v>380</v>
      </c>
      <c r="C542" s="81" t="s">
        <v>157</v>
      </c>
      <c r="D542" s="81" t="s">
        <v>503</v>
      </c>
      <c r="E542" s="81" t="s">
        <v>189</v>
      </c>
      <c r="F542" s="293">
        <f t="shared" si="17"/>
        <v>0</v>
      </c>
      <c r="G542" s="149">
        <v>0</v>
      </c>
      <c r="H542" s="424"/>
    </row>
    <row r="543" spans="1:11" ht="18.75" customHeight="1">
      <c r="A543" s="162" t="s">
        <v>228</v>
      </c>
      <c r="B543" s="163" t="s">
        <v>229</v>
      </c>
      <c r="C543" s="163" t="s">
        <v>146</v>
      </c>
      <c r="D543" s="163" t="s">
        <v>320</v>
      </c>
      <c r="E543" s="163" t="s">
        <v>409</v>
      </c>
      <c r="F543" s="291">
        <f aca="true" t="shared" si="18" ref="F543:F549">G543+H543</f>
        <v>44122.136999999995</v>
      </c>
      <c r="G543" s="291">
        <f>G544+G549+G559</f>
        <v>967.6</v>
      </c>
      <c r="H543" s="291">
        <f>H544+H549+H559</f>
        <v>43154.537</v>
      </c>
      <c r="I543" s="423"/>
      <c r="K543" s="413"/>
    </row>
    <row r="544" spans="1:8" s="405" customFormat="1" ht="17.25" customHeight="1">
      <c r="A544" s="77" t="s">
        <v>140</v>
      </c>
      <c r="B544" s="135" t="s">
        <v>229</v>
      </c>
      <c r="C544" s="135" t="s">
        <v>146</v>
      </c>
      <c r="D544" s="135" t="s">
        <v>320</v>
      </c>
      <c r="E544" s="135" t="s">
        <v>409</v>
      </c>
      <c r="F544" s="289">
        <f t="shared" si="18"/>
        <v>767.6</v>
      </c>
      <c r="G544" s="289">
        <f>G545</f>
        <v>767.6</v>
      </c>
      <c r="H544" s="289">
        <f>H545</f>
        <v>0</v>
      </c>
    </row>
    <row r="545" spans="1:9" ht="33" customHeight="1">
      <c r="A545" s="62" t="s">
        <v>596</v>
      </c>
      <c r="B545" s="17" t="s">
        <v>229</v>
      </c>
      <c r="C545" s="17" t="s">
        <v>146</v>
      </c>
      <c r="D545" s="18" t="s">
        <v>84</v>
      </c>
      <c r="E545" s="17" t="s">
        <v>409</v>
      </c>
      <c r="F545" s="149">
        <f t="shared" si="18"/>
        <v>767.6</v>
      </c>
      <c r="G545" s="149">
        <f>G546</f>
        <v>767.6</v>
      </c>
      <c r="H545" s="149">
        <f>H546</f>
        <v>0</v>
      </c>
      <c r="I545" s="423"/>
    </row>
    <row r="546" spans="1:8" ht="50.25" customHeight="1">
      <c r="A546" s="62" t="s">
        <v>141</v>
      </c>
      <c r="B546" s="17" t="s">
        <v>229</v>
      </c>
      <c r="C546" s="17" t="s">
        <v>146</v>
      </c>
      <c r="D546" s="18" t="s">
        <v>84</v>
      </c>
      <c r="E546" s="17" t="s">
        <v>409</v>
      </c>
      <c r="F546" s="149">
        <f t="shared" si="18"/>
        <v>767.6</v>
      </c>
      <c r="G546" s="149">
        <f>G547</f>
        <v>767.6</v>
      </c>
      <c r="H546" s="149">
        <f>H548</f>
        <v>0</v>
      </c>
    </row>
    <row r="547" spans="1:8" ht="31.5" customHeight="1">
      <c r="A547" s="62" t="s">
        <v>201</v>
      </c>
      <c r="B547" s="17" t="s">
        <v>229</v>
      </c>
      <c r="C547" s="17" t="s">
        <v>146</v>
      </c>
      <c r="D547" s="18" t="s">
        <v>84</v>
      </c>
      <c r="E547" s="17" t="s">
        <v>156</v>
      </c>
      <c r="F547" s="149">
        <f t="shared" si="18"/>
        <v>767.6</v>
      </c>
      <c r="G547" s="149">
        <f>G548</f>
        <v>767.6</v>
      </c>
      <c r="H547" s="149"/>
    </row>
    <row r="548" spans="1:8" s="432" customFormat="1" ht="32.25" customHeight="1">
      <c r="A548" s="80" t="s">
        <v>202</v>
      </c>
      <c r="B548" s="81" t="s">
        <v>229</v>
      </c>
      <c r="C548" s="81" t="s">
        <v>146</v>
      </c>
      <c r="D548" s="81" t="s">
        <v>84</v>
      </c>
      <c r="E548" s="81" t="s">
        <v>203</v>
      </c>
      <c r="F548" s="293">
        <f t="shared" si="18"/>
        <v>767.6</v>
      </c>
      <c r="G548" s="149">
        <f>683+84.6</f>
        <v>767.6</v>
      </c>
      <c r="H548" s="219"/>
    </row>
    <row r="549" spans="1:8" s="432" customFormat="1" ht="18.75" customHeight="1">
      <c r="A549" s="77" t="s">
        <v>597</v>
      </c>
      <c r="B549" s="135" t="s">
        <v>229</v>
      </c>
      <c r="C549" s="135" t="s">
        <v>153</v>
      </c>
      <c r="D549" s="135" t="s">
        <v>320</v>
      </c>
      <c r="E549" s="135" t="s">
        <v>409</v>
      </c>
      <c r="F549" s="289">
        <f t="shared" si="18"/>
        <v>2360</v>
      </c>
      <c r="G549" s="289">
        <f>G550+G553+G556</f>
        <v>200</v>
      </c>
      <c r="H549" s="289">
        <f>H550</f>
        <v>2160</v>
      </c>
    </row>
    <row r="550" spans="1:8" s="432" customFormat="1" ht="97.5" customHeight="1">
      <c r="A550" s="59" t="s">
        <v>598</v>
      </c>
      <c r="B550" s="55" t="s">
        <v>229</v>
      </c>
      <c r="C550" s="55" t="s">
        <v>153</v>
      </c>
      <c r="D550" s="55" t="s">
        <v>47</v>
      </c>
      <c r="E550" s="55" t="s">
        <v>409</v>
      </c>
      <c r="F550" s="152">
        <f>H550</f>
        <v>2160</v>
      </c>
      <c r="G550" s="152"/>
      <c r="H550" s="152">
        <f>H551+H553</f>
        <v>2160</v>
      </c>
    </row>
    <row r="551" spans="1:8" s="432" customFormat="1" ht="33" customHeight="1">
      <c r="A551" s="62" t="s">
        <v>201</v>
      </c>
      <c r="B551" s="18" t="s">
        <v>229</v>
      </c>
      <c r="C551" s="18" t="s">
        <v>153</v>
      </c>
      <c r="D551" s="18" t="s">
        <v>917</v>
      </c>
      <c r="E551" s="18" t="s">
        <v>156</v>
      </c>
      <c r="F551" s="149">
        <f>H551</f>
        <v>2160</v>
      </c>
      <c r="G551" s="149"/>
      <c r="H551" s="149">
        <f>H552</f>
        <v>2160</v>
      </c>
    </row>
    <row r="552" spans="1:8" s="432" customFormat="1" ht="36" customHeight="1">
      <c r="A552" s="54" t="s">
        <v>204</v>
      </c>
      <c r="B552" s="18" t="s">
        <v>229</v>
      </c>
      <c r="C552" s="18" t="s">
        <v>153</v>
      </c>
      <c r="D552" s="18" t="s">
        <v>917</v>
      </c>
      <c r="E552" s="18" t="s">
        <v>205</v>
      </c>
      <c r="F552" s="149">
        <f>H552</f>
        <v>2160</v>
      </c>
      <c r="G552" s="149"/>
      <c r="H552" s="149">
        <v>2160</v>
      </c>
    </row>
    <row r="553" spans="1:8" s="415" customFormat="1" ht="57" customHeight="1">
      <c r="A553" s="108" t="s">
        <v>853</v>
      </c>
      <c r="B553" s="158" t="s">
        <v>229</v>
      </c>
      <c r="C553" s="158" t="s">
        <v>153</v>
      </c>
      <c r="D553" s="158" t="s">
        <v>85</v>
      </c>
      <c r="E553" s="158" t="s">
        <v>409</v>
      </c>
      <c r="F553" s="297">
        <f>G553+H553</f>
        <v>200</v>
      </c>
      <c r="G553" s="297">
        <f>G554</f>
        <v>200</v>
      </c>
      <c r="H553" s="297">
        <f>H555</f>
        <v>0</v>
      </c>
    </row>
    <row r="554" spans="1:8" s="415" customFormat="1" ht="32.25" customHeight="1">
      <c r="A554" s="62" t="s">
        <v>201</v>
      </c>
      <c r="B554" s="18" t="s">
        <v>229</v>
      </c>
      <c r="C554" s="18" t="s">
        <v>153</v>
      </c>
      <c r="D554" s="18" t="s">
        <v>86</v>
      </c>
      <c r="E554" s="18" t="s">
        <v>156</v>
      </c>
      <c r="F554" s="149">
        <f>G554</f>
        <v>200</v>
      </c>
      <c r="G554" s="149">
        <f>G555</f>
        <v>200</v>
      </c>
      <c r="H554" s="149"/>
    </row>
    <row r="555" spans="1:8" s="392" customFormat="1" ht="31.5" customHeight="1">
      <c r="A555" s="54" t="s">
        <v>204</v>
      </c>
      <c r="B555" s="17" t="s">
        <v>229</v>
      </c>
      <c r="C555" s="17" t="s">
        <v>153</v>
      </c>
      <c r="D555" s="17" t="s">
        <v>86</v>
      </c>
      <c r="E555" s="18" t="s">
        <v>205</v>
      </c>
      <c r="F555" s="149">
        <f>G555+H555</f>
        <v>200</v>
      </c>
      <c r="G555" s="149">
        <v>200</v>
      </c>
      <c r="H555" s="149"/>
    </row>
    <row r="556" spans="1:8" s="392" customFormat="1" ht="21" customHeight="1" hidden="1">
      <c r="A556" s="164" t="s">
        <v>545</v>
      </c>
      <c r="B556" s="17" t="s">
        <v>229</v>
      </c>
      <c r="C556" s="17" t="s">
        <v>153</v>
      </c>
      <c r="D556" s="135" t="s">
        <v>320</v>
      </c>
      <c r="E556" s="135" t="s">
        <v>409</v>
      </c>
      <c r="F556" s="289">
        <f>G556</f>
        <v>0</v>
      </c>
      <c r="G556" s="289">
        <f>G557</f>
        <v>0</v>
      </c>
      <c r="H556" s="289"/>
    </row>
    <row r="557" spans="1:8" s="392" customFormat="1" ht="35.25" customHeight="1" hidden="1">
      <c r="A557" s="54" t="s">
        <v>201</v>
      </c>
      <c r="B557" s="17" t="s">
        <v>229</v>
      </c>
      <c r="C557" s="17" t="s">
        <v>153</v>
      </c>
      <c r="D557" s="18" t="s">
        <v>546</v>
      </c>
      <c r="E557" s="18" t="s">
        <v>156</v>
      </c>
      <c r="F557" s="149">
        <f>G557</f>
        <v>0</v>
      </c>
      <c r="G557" s="149">
        <f>G558</f>
        <v>0</v>
      </c>
      <c r="H557" s="149"/>
    </row>
    <row r="558" spans="1:8" s="392" customFormat="1" ht="35.25" customHeight="1" hidden="1">
      <c r="A558" s="54" t="s">
        <v>204</v>
      </c>
      <c r="B558" s="17" t="s">
        <v>229</v>
      </c>
      <c r="C558" s="17" t="s">
        <v>153</v>
      </c>
      <c r="D558" s="18" t="s">
        <v>546</v>
      </c>
      <c r="E558" s="18" t="s">
        <v>205</v>
      </c>
      <c r="F558" s="149">
        <f>G558</f>
        <v>0</v>
      </c>
      <c r="G558" s="149"/>
      <c r="H558" s="149"/>
    </row>
    <row r="559" spans="1:11" s="400" customFormat="1" ht="18.75" customHeight="1">
      <c r="A559" s="165" t="s">
        <v>402</v>
      </c>
      <c r="B559" s="132" t="s">
        <v>229</v>
      </c>
      <c r="C559" s="132" t="s">
        <v>157</v>
      </c>
      <c r="D559" s="132" t="s">
        <v>320</v>
      </c>
      <c r="E559" s="132" t="s">
        <v>409</v>
      </c>
      <c r="F559" s="300">
        <f aca="true" t="shared" si="19" ref="F559:F564">G559+H559</f>
        <v>40994.537</v>
      </c>
      <c r="G559" s="300">
        <f>G571</f>
        <v>0</v>
      </c>
      <c r="H559" s="300">
        <f>H562+H571+H565+H576+H582</f>
        <v>40994.537</v>
      </c>
      <c r="K559" s="417"/>
    </row>
    <row r="560" spans="1:8" s="400" customFormat="1" ht="47.25" customHeight="1">
      <c r="A560" s="59" t="s">
        <v>474</v>
      </c>
      <c r="B560" s="17" t="s">
        <v>229</v>
      </c>
      <c r="C560" s="17" t="s">
        <v>157</v>
      </c>
      <c r="D560" s="18" t="s">
        <v>29</v>
      </c>
      <c r="E560" s="17" t="s">
        <v>409</v>
      </c>
      <c r="F560" s="149">
        <f t="shared" si="19"/>
        <v>6035.259</v>
      </c>
      <c r="G560" s="149">
        <f>G561</f>
        <v>0</v>
      </c>
      <c r="H560" s="149">
        <f>H561</f>
        <v>6035.259</v>
      </c>
    </row>
    <row r="561" spans="1:8" s="400" customFormat="1" ht="33" customHeight="1">
      <c r="A561" s="60" t="s">
        <v>87</v>
      </c>
      <c r="B561" s="17" t="s">
        <v>229</v>
      </c>
      <c r="C561" s="17" t="s">
        <v>157</v>
      </c>
      <c r="D561" s="18" t="s">
        <v>42</v>
      </c>
      <c r="E561" s="17" t="s">
        <v>409</v>
      </c>
      <c r="F561" s="149">
        <f t="shared" si="19"/>
        <v>6035.259</v>
      </c>
      <c r="G561" s="149">
        <f>G562</f>
        <v>0</v>
      </c>
      <c r="H561" s="149">
        <f>H562</f>
        <v>6035.259</v>
      </c>
    </row>
    <row r="562" spans="1:10" ht="79.5" customHeight="1">
      <c r="A562" s="88" t="s">
        <v>231</v>
      </c>
      <c r="B562" s="17" t="s">
        <v>229</v>
      </c>
      <c r="C562" s="17" t="s">
        <v>157</v>
      </c>
      <c r="D562" s="17" t="s">
        <v>88</v>
      </c>
      <c r="E562" s="17" t="s">
        <v>409</v>
      </c>
      <c r="F562" s="149">
        <f t="shared" si="19"/>
        <v>6035.259</v>
      </c>
      <c r="G562" s="149">
        <f>G564</f>
        <v>0</v>
      </c>
      <c r="H562" s="149">
        <f>H564+H563</f>
        <v>6035.259</v>
      </c>
      <c r="J562" s="423"/>
    </row>
    <row r="563" spans="1:8" ht="47.25" customHeight="1">
      <c r="A563" s="109" t="s">
        <v>188</v>
      </c>
      <c r="B563" s="17" t="s">
        <v>229</v>
      </c>
      <c r="C563" s="17" t="s">
        <v>157</v>
      </c>
      <c r="D563" s="17" t="s">
        <v>88</v>
      </c>
      <c r="E563" s="17" t="s">
        <v>189</v>
      </c>
      <c r="F563" s="149">
        <f t="shared" si="19"/>
        <v>90.529</v>
      </c>
      <c r="G563" s="149"/>
      <c r="H563" s="149">
        <v>90.529</v>
      </c>
    </row>
    <row r="564" spans="1:8" ht="35.25" customHeight="1">
      <c r="A564" s="80" t="s">
        <v>202</v>
      </c>
      <c r="B564" s="81" t="s">
        <v>229</v>
      </c>
      <c r="C564" s="81" t="s">
        <v>157</v>
      </c>
      <c r="D564" s="81" t="s">
        <v>88</v>
      </c>
      <c r="E564" s="81" t="s">
        <v>203</v>
      </c>
      <c r="F564" s="293">
        <f t="shared" si="19"/>
        <v>5944.73</v>
      </c>
      <c r="G564" s="293"/>
      <c r="H564" s="149">
        <v>5944.73</v>
      </c>
    </row>
    <row r="565" spans="1:8" ht="48" customHeight="1">
      <c r="A565" s="108" t="s">
        <v>474</v>
      </c>
      <c r="B565" s="158" t="s">
        <v>229</v>
      </c>
      <c r="C565" s="158" t="s">
        <v>157</v>
      </c>
      <c r="D565" s="158" t="s">
        <v>29</v>
      </c>
      <c r="E565" s="158" t="s">
        <v>409</v>
      </c>
      <c r="F565" s="297">
        <f aca="true" t="shared" si="20" ref="F565:F575">H565</f>
        <v>300</v>
      </c>
      <c r="G565" s="297">
        <v>0</v>
      </c>
      <c r="H565" s="297">
        <f>H566</f>
        <v>300</v>
      </c>
    </row>
    <row r="566" spans="1:8" ht="34.5" customHeight="1">
      <c r="A566" s="339" t="s">
        <v>462</v>
      </c>
      <c r="B566" s="122" t="s">
        <v>229</v>
      </c>
      <c r="C566" s="122" t="s">
        <v>157</v>
      </c>
      <c r="D566" s="55" t="s">
        <v>64</v>
      </c>
      <c r="E566" s="55" t="s">
        <v>409</v>
      </c>
      <c r="F566" s="299">
        <f t="shared" si="20"/>
        <v>300</v>
      </c>
      <c r="G566" s="299">
        <v>0</v>
      </c>
      <c r="H566" s="152">
        <f>H567</f>
        <v>300</v>
      </c>
    </row>
    <row r="567" spans="1:8" ht="61.5" customHeight="1">
      <c r="A567" s="59" t="s">
        <v>739</v>
      </c>
      <c r="B567" s="81" t="s">
        <v>229</v>
      </c>
      <c r="C567" s="81" t="s">
        <v>157</v>
      </c>
      <c r="D567" s="122" t="s">
        <v>64</v>
      </c>
      <c r="E567" s="122" t="s">
        <v>409</v>
      </c>
      <c r="F567" s="293">
        <f t="shared" si="20"/>
        <v>300</v>
      </c>
      <c r="G567" s="293">
        <v>0</v>
      </c>
      <c r="H567" s="293">
        <f>H568</f>
        <v>300</v>
      </c>
    </row>
    <row r="568" spans="1:8" ht="35.25" customHeight="1">
      <c r="A568" s="109" t="s">
        <v>201</v>
      </c>
      <c r="B568" s="81" t="s">
        <v>229</v>
      </c>
      <c r="C568" s="81" t="s">
        <v>157</v>
      </c>
      <c r="D568" s="18" t="s">
        <v>65</v>
      </c>
      <c r="E568" s="17" t="s">
        <v>156</v>
      </c>
      <c r="F568" s="293">
        <f t="shared" si="20"/>
        <v>300</v>
      </c>
      <c r="G568" s="293">
        <v>0</v>
      </c>
      <c r="H568" s="149">
        <f>H569</f>
        <v>300</v>
      </c>
    </row>
    <row r="569" spans="1:8" ht="32.25" customHeight="1">
      <c r="A569" s="109" t="s">
        <v>202</v>
      </c>
      <c r="B569" s="81" t="s">
        <v>229</v>
      </c>
      <c r="C569" s="81" t="s">
        <v>157</v>
      </c>
      <c r="D569" s="18" t="s">
        <v>65</v>
      </c>
      <c r="E569" s="18" t="s">
        <v>203</v>
      </c>
      <c r="F569" s="293">
        <f t="shared" si="20"/>
        <v>300</v>
      </c>
      <c r="G569" s="293">
        <v>0</v>
      </c>
      <c r="H569" s="149">
        <v>300</v>
      </c>
    </row>
    <row r="570" spans="1:8" ht="131.25" customHeight="1">
      <c r="A570" s="452" t="s">
        <v>875</v>
      </c>
      <c r="B570" s="453" t="s">
        <v>229</v>
      </c>
      <c r="C570" s="453" t="s">
        <v>157</v>
      </c>
      <c r="D570" s="453" t="s">
        <v>799</v>
      </c>
      <c r="E570" s="453" t="s">
        <v>409</v>
      </c>
      <c r="F570" s="433">
        <f>G570+H570</f>
        <v>34659.278</v>
      </c>
      <c r="G570" s="433">
        <f>G571+G576+G582</f>
        <v>0</v>
      </c>
      <c r="H570" s="433">
        <f>H571+H576+H582</f>
        <v>34659.278</v>
      </c>
    </row>
    <row r="571" spans="1:8" s="392" customFormat="1" ht="66.75" customHeight="1">
      <c r="A571" s="87" t="s">
        <v>560</v>
      </c>
      <c r="B571" s="55" t="s">
        <v>229</v>
      </c>
      <c r="C571" s="55" t="s">
        <v>157</v>
      </c>
      <c r="D571" s="18" t="s">
        <v>805</v>
      </c>
      <c r="E571" s="55" t="s">
        <v>409</v>
      </c>
      <c r="F571" s="152">
        <f t="shared" si="20"/>
        <v>21118.07693</v>
      </c>
      <c r="G571" s="152"/>
      <c r="H571" s="152">
        <f>H572+H574</f>
        <v>21118.07693</v>
      </c>
    </row>
    <row r="572" spans="1:8" s="392" customFormat="1" ht="37.5" customHeight="1">
      <c r="A572" s="54" t="s">
        <v>187</v>
      </c>
      <c r="B572" s="18" t="s">
        <v>229</v>
      </c>
      <c r="C572" s="18" t="s">
        <v>157</v>
      </c>
      <c r="D572" s="18" t="s">
        <v>561</v>
      </c>
      <c r="E572" s="18" t="s">
        <v>155</v>
      </c>
      <c r="F572" s="149">
        <f>G572+H572</f>
        <v>383.52</v>
      </c>
      <c r="G572" s="152"/>
      <c r="H572" s="149">
        <f>H573</f>
        <v>383.52</v>
      </c>
    </row>
    <row r="573" spans="1:8" s="392" customFormat="1" ht="52.5" customHeight="1">
      <c r="A573" s="109" t="s">
        <v>188</v>
      </c>
      <c r="B573" s="18" t="s">
        <v>229</v>
      </c>
      <c r="C573" s="18" t="s">
        <v>157</v>
      </c>
      <c r="D573" s="18" t="s">
        <v>561</v>
      </c>
      <c r="E573" s="18" t="s">
        <v>189</v>
      </c>
      <c r="F573" s="149">
        <f>G573+H573</f>
        <v>383.52</v>
      </c>
      <c r="G573" s="152"/>
      <c r="H573" s="149">
        <v>383.52</v>
      </c>
    </row>
    <row r="574" spans="1:8" s="392" customFormat="1" ht="48.75" customHeight="1">
      <c r="A574" s="109" t="s">
        <v>599</v>
      </c>
      <c r="B574" s="18" t="s">
        <v>229</v>
      </c>
      <c r="C574" s="18" t="s">
        <v>157</v>
      </c>
      <c r="D574" s="18" t="s">
        <v>805</v>
      </c>
      <c r="E574" s="18" t="s">
        <v>600</v>
      </c>
      <c r="F574" s="149">
        <f t="shared" si="20"/>
        <v>20734.55693</v>
      </c>
      <c r="G574" s="149"/>
      <c r="H574" s="149">
        <f>H575</f>
        <v>20734.55693</v>
      </c>
    </row>
    <row r="575" spans="1:9" s="392" customFormat="1" ht="17.25" customHeight="1">
      <c r="A575" s="109" t="s">
        <v>601</v>
      </c>
      <c r="B575" s="18" t="s">
        <v>229</v>
      </c>
      <c r="C575" s="18" t="s">
        <v>157</v>
      </c>
      <c r="D575" s="18" t="s">
        <v>805</v>
      </c>
      <c r="E575" s="18" t="s">
        <v>602</v>
      </c>
      <c r="F575" s="149">
        <f t="shared" si="20"/>
        <v>20734.55693</v>
      </c>
      <c r="G575" s="149"/>
      <c r="H575" s="149">
        <f>21118.07693-383.52</f>
        <v>20734.55693</v>
      </c>
      <c r="I575" s="434"/>
    </row>
    <row r="576" spans="1:11" s="392" customFormat="1" ht="115.5" customHeight="1">
      <c r="A576" s="59" t="s">
        <v>677</v>
      </c>
      <c r="B576" s="55" t="s">
        <v>229</v>
      </c>
      <c r="C576" s="55" t="s">
        <v>157</v>
      </c>
      <c r="D576" s="18" t="s">
        <v>803</v>
      </c>
      <c r="E576" s="55" t="s">
        <v>409</v>
      </c>
      <c r="F576" s="152">
        <f aca="true" t="shared" si="21" ref="F576:F586">G576+H576</f>
        <v>13010.91856</v>
      </c>
      <c r="G576" s="152"/>
      <c r="H576" s="152">
        <f>H577+H579</f>
        <v>13010.91856</v>
      </c>
      <c r="I576" s="505"/>
      <c r="J576" s="506"/>
      <c r="K576" s="507" t="s">
        <v>807</v>
      </c>
    </row>
    <row r="577" spans="1:9" s="392" customFormat="1" ht="36.75" customHeight="1">
      <c r="A577" s="54" t="s">
        <v>187</v>
      </c>
      <c r="B577" s="18" t="s">
        <v>229</v>
      </c>
      <c r="C577" s="18" t="s">
        <v>157</v>
      </c>
      <c r="D577" s="18" t="s">
        <v>803</v>
      </c>
      <c r="E577" s="18" t="s">
        <v>155</v>
      </c>
      <c r="F577" s="149">
        <f>H577</f>
        <v>150</v>
      </c>
      <c r="G577" s="149"/>
      <c r="H577" s="149">
        <f>H578</f>
        <v>150</v>
      </c>
      <c r="I577" s="434"/>
    </row>
    <row r="578" spans="1:9" s="392" customFormat="1" ht="50.25" customHeight="1">
      <c r="A578" s="109" t="s">
        <v>188</v>
      </c>
      <c r="B578" s="18" t="s">
        <v>229</v>
      </c>
      <c r="C578" s="18" t="s">
        <v>157</v>
      </c>
      <c r="D578" s="18" t="s">
        <v>803</v>
      </c>
      <c r="E578" s="18" t="s">
        <v>189</v>
      </c>
      <c r="F578" s="149">
        <f>H578</f>
        <v>150</v>
      </c>
      <c r="G578" s="149"/>
      <c r="H578" s="149">
        <v>150</v>
      </c>
      <c r="I578" s="434"/>
    </row>
    <row r="579" spans="1:9" s="392" customFormat="1" ht="30" customHeight="1">
      <c r="A579" s="54" t="s">
        <v>201</v>
      </c>
      <c r="B579" s="18" t="s">
        <v>229</v>
      </c>
      <c r="C579" s="18" t="s">
        <v>157</v>
      </c>
      <c r="D579" s="18" t="s">
        <v>803</v>
      </c>
      <c r="E579" s="18" t="s">
        <v>156</v>
      </c>
      <c r="F579" s="149">
        <f t="shared" si="21"/>
        <v>12860.91856</v>
      </c>
      <c r="G579" s="149"/>
      <c r="H579" s="149">
        <f>H580+H581</f>
        <v>12860.91856</v>
      </c>
      <c r="I579" s="434"/>
    </row>
    <row r="580" spans="1:9" s="392" customFormat="1" ht="30.75" customHeight="1">
      <c r="A580" s="109" t="s">
        <v>202</v>
      </c>
      <c r="B580" s="18" t="s">
        <v>229</v>
      </c>
      <c r="C580" s="18" t="s">
        <v>157</v>
      </c>
      <c r="D580" s="18" t="s">
        <v>803</v>
      </c>
      <c r="E580" s="18" t="s">
        <v>203</v>
      </c>
      <c r="F580" s="149">
        <f t="shared" si="21"/>
        <v>8860.91856</v>
      </c>
      <c r="G580" s="149"/>
      <c r="H580" s="149">
        <f>10649.63122-1788.71266</f>
        <v>8860.91856</v>
      </c>
      <c r="I580" s="434"/>
    </row>
    <row r="581" spans="1:9" s="392" customFormat="1" ht="30.75" customHeight="1">
      <c r="A581" s="54" t="s">
        <v>204</v>
      </c>
      <c r="B581" s="18" t="s">
        <v>229</v>
      </c>
      <c r="C581" s="18" t="s">
        <v>157</v>
      </c>
      <c r="D581" s="18" t="s">
        <v>803</v>
      </c>
      <c r="E581" s="18" t="s">
        <v>205</v>
      </c>
      <c r="F581" s="149">
        <f t="shared" si="21"/>
        <v>4000</v>
      </c>
      <c r="G581" s="149"/>
      <c r="H581" s="149">
        <f>3600+400</f>
        <v>4000</v>
      </c>
      <c r="I581" s="434"/>
    </row>
    <row r="582" spans="1:10" s="392" customFormat="1" ht="94.5" customHeight="1">
      <c r="A582" s="59" t="s">
        <v>679</v>
      </c>
      <c r="B582" s="55" t="s">
        <v>229</v>
      </c>
      <c r="C582" s="55" t="s">
        <v>157</v>
      </c>
      <c r="D582" s="18" t="s">
        <v>804</v>
      </c>
      <c r="E582" s="55" t="s">
        <v>409</v>
      </c>
      <c r="F582" s="152">
        <f t="shared" si="21"/>
        <v>530.28251</v>
      </c>
      <c r="G582" s="152"/>
      <c r="H582" s="152">
        <f>H583+H585</f>
        <v>530.28251</v>
      </c>
      <c r="I582" s="434"/>
      <c r="J582" s="434"/>
    </row>
    <row r="583" spans="1:9" s="392" customFormat="1" ht="36.75" customHeight="1">
      <c r="A583" s="54" t="s">
        <v>187</v>
      </c>
      <c r="B583" s="18" t="s">
        <v>229</v>
      </c>
      <c r="C583" s="18" t="s">
        <v>157</v>
      </c>
      <c r="D583" s="18" t="s">
        <v>804</v>
      </c>
      <c r="E583" s="18" t="s">
        <v>155</v>
      </c>
      <c r="F583" s="149">
        <f>H583</f>
        <v>5</v>
      </c>
      <c r="G583" s="149"/>
      <c r="H583" s="149">
        <f>H584</f>
        <v>5</v>
      </c>
      <c r="I583" s="434"/>
    </row>
    <row r="584" spans="1:9" s="392" customFormat="1" ht="50.25" customHeight="1">
      <c r="A584" s="109" t="s">
        <v>188</v>
      </c>
      <c r="B584" s="18" t="s">
        <v>229</v>
      </c>
      <c r="C584" s="18" t="s">
        <v>157</v>
      </c>
      <c r="D584" s="18" t="s">
        <v>804</v>
      </c>
      <c r="E584" s="18" t="s">
        <v>189</v>
      </c>
      <c r="F584" s="149">
        <f>H584</f>
        <v>5</v>
      </c>
      <c r="G584" s="149"/>
      <c r="H584" s="149">
        <v>5</v>
      </c>
      <c r="I584" s="434"/>
    </row>
    <row r="585" spans="1:9" s="392" customFormat="1" ht="30.75" customHeight="1">
      <c r="A585" s="54" t="s">
        <v>201</v>
      </c>
      <c r="B585" s="18" t="s">
        <v>229</v>
      </c>
      <c r="C585" s="18" t="s">
        <v>157</v>
      </c>
      <c r="D585" s="18" t="s">
        <v>804</v>
      </c>
      <c r="E585" s="18" t="s">
        <v>156</v>
      </c>
      <c r="F585" s="149">
        <f t="shared" si="21"/>
        <v>525.28251</v>
      </c>
      <c r="G585" s="149"/>
      <c r="H585" s="149">
        <f>H586</f>
        <v>525.28251</v>
      </c>
      <c r="I585" s="434"/>
    </row>
    <row r="586" spans="1:9" s="392" customFormat="1" ht="32.25" customHeight="1">
      <c r="A586" s="109" t="s">
        <v>202</v>
      </c>
      <c r="B586" s="18" t="s">
        <v>229</v>
      </c>
      <c r="C586" s="18" t="s">
        <v>157</v>
      </c>
      <c r="D586" s="18" t="s">
        <v>804</v>
      </c>
      <c r="E586" s="18" t="s">
        <v>203</v>
      </c>
      <c r="F586" s="149">
        <f t="shared" si="21"/>
        <v>525.28251</v>
      </c>
      <c r="G586" s="149"/>
      <c r="H586" s="149">
        <f>530.28251-5</f>
        <v>525.28251</v>
      </c>
      <c r="I586" s="434"/>
    </row>
    <row r="587" spans="1:12" s="409" customFormat="1" ht="18.75" customHeight="1">
      <c r="A587" s="150" t="s">
        <v>232</v>
      </c>
      <c r="B587" s="24" t="s">
        <v>164</v>
      </c>
      <c r="C587" s="24" t="s">
        <v>147</v>
      </c>
      <c r="D587" s="24" t="s">
        <v>320</v>
      </c>
      <c r="E587" s="24" t="s">
        <v>409</v>
      </c>
      <c r="F587" s="291">
        <f aca="true" t="shared" si="22" ref="F587:F593">G587+H587</f>
        <v>863</v>
      </c>
      <c r="G587" s="286">
        <f>G588</f>
        <v>863</v>
      </c>
      <c r="H587" s="286">
        <f>H588</f>
        <v>0</v>
      </c>
      <c r="K587" s="425"/>
      <c r="L587" s="425"/>
    </row>
    <row r="588" spans="1:8" ht="15.75" customHeight="1">
      <c r="A588" s="62" t="s">
        <v>345</v>
      </c>
      <c r="B588" s="17" t="s">
        <v>164</v>
      </c>
      <c r="C588" s="17" t="s">
        <v>148</v>
      </c>
      <c r="D588" s="17" t="s">
        <v>320</v>
      </c>
      <c r="E588" s="17" t="s">
        <v>409</v>
      </c>
      <c r="F588" s="149">
        <f t="shared" si="22"/>
        <v>863</v>
      </c>
      <c r="G588" s="149">
        <f>G589</f>
        <v>863</v>
      </c>
      <c r="H588" s="149">
        <f>H589</f>
        <v>0</v>
      </c>
    </row>
    <row r="589" spans="1:8" ht="50.25" customHeight="1">
      <c r="A589" s="59" t="s">
        <v>479</v>
      </c>
      <c r="B589" s="55" t="s">
        <v>164</v>
      </c>
      <c r="C589" s="55" t="s">
        <v>148</v>
      </c>
      <c r="D589" s="55" t="s">
        <v>89</v>
      </c>
      <c r="E589" s="55" t="s">
        <v>409</v>
      </c>
      <c r="F589" s="152">
        <f t="shared" si="22"/>
        <v>863</v>
      </c>
      <c r="G589" s="152">
        <f>G590+G593+G611+G608+G618</f>
        <v>863</v>
      </c>
      <c r="H589" s="152">
        <f>H590+H593+H611+H618</f>
        <v>0</v>
      </c>
    </row>
    <row r="590" spans="1:8" ht="33" customHeight="1">
      <c r="A590" s="62" t="s">
        <v>233</v>
      </c>
      <c r="B590" s="17" t="s">
        <v>164</v>
      </c>
      <c r="C590" s="17" t="s">
        <v>148</v>
      </c>
      <c r="D590" s="17" t="s">
        <v>90</v>
      </c>
      <c r="E590" s="17" t="s">
        <v>409</v>
      </c>
      <c r="F590" s="149">
        <f t="shared" si="22"/>
        <v>609</v>
      </c>
      <c r="G590" s="149">
        <f>G591</f>
        <v>609</v>
      </c>
      <c r="H590" s="149">
        <f>H592</f>
        <v>0</v>
      </c>
    </row>
    <row r="591" spans="1:8" ht="32.25" customHeight="1">
      <c r="A591" s="54" t="s">
        <v>187</v>
      </c>
      <c r="B591" s="17" t="s">
        <v>164</v>
      </c>
      <c r="C591" s="17" t="s">
        <v>148</v>
      </c>
      <c r="D591" s="17" t="s">
        <v>90</v>
      </c>
      <c r="E591" s="17" t="s">
        <v>155</v>
      </c>
      <c r="F591" s="149">
        <f t="shared" si="22"/>
        <v>609</v>
      </c>
      <c r="G591" s="149">
        <f>G592</f>
        <v>609</v>
      </c>
      <c r="H591" s="149"/>
    </row>
    <row r="592" spans="1:8" ht="49.5" customHeight="1">
      <c r="A592" s="109" t="s">
        <v>188</v>
      </c>
      <c r="B592" s="17" t="s">
        <v>164</v>
      </c>
      <c r="C592" s="17" t="s">
        <v>148</v>
      </c>
      <c r="D592" s="17" t="s">
        <v>90</v>
      </c>
      <c r="E592" s="17" t="s">
        <v>189</v>
      </c>
      <c r="F592" s="149">
        <f t="shared" si="22"/>
        <v>609</v>
      </c>
      <c r="G592" s="149">
        <f>150+156.8+130+145.22+26.98</f>
        <v>609</v>
      </c>
      <c r="H592" s="149"/>
    </row>
    <row r="593" spans="1:8" s="392" customFormat="1" ht="49.5" customHeight="1" hidden="1">
      <c r="A593" s="599" t="s">
        <v>603</v>
      </c>
      <c r="B593" s="600" t="s">
        <v>164</v>
      </c>
      <c r="C593" s="600" t="s">
        <v>148</v>
      </c>
      <c r="D593" s="600" t="s">
        <v>89</v>
      </c>
      <c r="E593" s="600" t="s">
        <v>409</v>
      </c>
      <c r="F593" s="168">
        <f t="shared" si="22"/>
        <v>0</v>
      </c>
      <c r="G593" s="294">
        <f>G601</f>
        <v>0</v>
      </c>
      <c r="H593" s="168">
        <f>H594</f>
        <v>0</v>
      </c>
    </row>
    <row r="594" spans="1:8" s="392" customFormat="1" ht="83.25" customHeight="1" hidden="1">
      <c r="A594" s="87" t="s">
        <v>614</v>
      </c>
      <c r="B594" s="55" t="s">
        <v>164</v>
      </c>
      <c r="C594" s="55" t="s">
        <v>148</v>
      </c>
      <c r="D594" s="55" t="s">
        <v>604</v>
      </c>
      <c r="E594" s="55" t="s">
        <v>409</v>
      </c>
      <c r="F594" s="152">
        <f aca="true" t="shared" si="23" ref="F594:F600">H594</f>
        <v>0</v>
      </c>
      <c r="G594" s="152"/>
      <c r="H594" s="152">
        <f>H597+H599</f>
        <v>0</v>
      </c>
    </row>
    <row r="595" spans="1:8" s="392" customFormat="1" ht="39.75" customHeight="1" hidden="1">
      <c r="A595" s="54" t="s">
        <v>187</v>
      </c>
      <c r="B595" s="18" t="s">
        <v>164</v>
      </c>
      <c r="C595" s="18" t="s">
        <v>148</v>
      </c>
      <c r="D595" s="18" t="s">
        <v>604</v>
      </c>
      <c r="E595" s="18" t="s">
        <v>155</v>
      </c>
      <c r="F595" s="149">
        <f t="shared" si="23"/>
        <v>0</v>
      </c>
      <c r="G595" s="149"/>
      <c r="H595" s="149">
        <f>H596</f>
        <v>0</v>
      </c>
    </row>
    <row r="596" spans="1:8" s="392" customFormat="1" ht="64.5" customHeight="1" hidden="1">
      <c r="A596" s="109" t="s">
        <v>615</v>
      </c>
      <c r="B596" s="18" t="s">
        <v>164</v>
      </c>
      <c r="C596" s="18" t="s">
        <v>148</v>
      </c>
      <c r="D596" s="18" t="s">
        <v>604</v>
      </c>
      <c r="E596" s="18" t="s">
        <v>189</v>
      </c>
      <c r="F596" s="149">
        <f t="shared" si="23"/>
        <v>0</v>
      </c>
      <c r="G596" s="149"/>
      <c r="H596" s="149">
        <v>0</v>
      </c>
    </row>
    <row r="597" spans="1:8" s="392" customFormat="1" ht="47.25" customHeight="1" hidden="1">
      <c r="A597" s="109" t="s">
        <v>599</v>
      </c>
      <c r="B597" s="18" t="s">
        <v>164</v>
      </c>
      <c r="C597" s="18" t="s">
        <v>148</v>
      </c>
      <c r="D597" s="18" t="s">
        <v>604</v>
      </c>
      <c r="E597" s="18" t="s">
        <v>600</v>
      </c>
      <c r="F597" s="149">
        <f t="shared" si="23"/>
        <v>0</v>
      </c>
      <c r="G597" s="149"/>
      <c r="H597" s="149">
        <f>H598</f>
        <v>0</v>
      </c>
    </row>
    <row r="598" spans="1:8" s="408" customFormat="1" ht="15" customHeight="1" hidden="1">
      <c r="A598" s="109" t="s">
        <v>601</v>
      </c>
      <c r="B598" s="18" t="s">
        <v>164</v>
      </c>
      <c r="C598" s="18" t="s">
        <v>148</v>
      </c>
      <c r="D598" s="18" t="s">
        <v>604</v>
      </c>
      <c r="E598" s="18" t="s">
        <v>602</v>
      </c>
      <c r="F598" s="149">
        <f t="shared" si="23"/>
        <v>0</v>
      </c>
      <c r="G598" s="149"/>
      <c r="H598" s="149">
        <v>0</v>
      </c>
    </row>
    <row r="599" spans="1:8" s="408" customFormat="1" ht="30" customHeight="1" hidden="1">
      <c r="A599" s="54" t="s">
        <v>605</v>
      </c>
      <c r="B599" s="18" t="s">
        <v>164</v>
      </c>
      <c r="C599" s="18" t="s">
        <v>148</v>
      </c>
      <c r="D599" s="18" t="s">
        <v>604</v>
      </c>
      <c r="E599" s="18" t="s">
        <v>211</v>
      </c>
      <c r="F599" s="149">
        <f t="shared" si="23"/>
        <v>0</v>
      </c>
      <c r="G599" s="149"/>
      <c r="H599" s="149">
        <f>H600</f>
        <v>0</v>
      </c>
    </row>
    <row r="600" spans="1:8" s="408" customFormat="1" ht="19.5" customHeight="1" hidden="1">
      <c r="A600" s="54" t="s">
        <v>175</v>
      </c>
      <c r="B600" s="18" t="s">
        <v>164</v>
      </c>
      <c r="C600" s="18" t="s">
        <v>148</v>
      </c>
      <c r="D600" s="18" t="s">
        <v>604</v>
      </c>
      <c r="E600" s="18" t="s">
        <v>287</v>
      </c>
      <c r="F600" s="149">
        <f t="shared" si="23"/>
        <v>0</v>
      </c>
      <c r="G600" s="149"/>
      <c r="H600" s="149">
        <v>0</v>
      </c>
    </row>
    <row r="601" spans="1:8" s="392" customFormat="1" ht="97.5" customHeight="1" hidden="1">
      <c r="A601" s="601" t="s">
        <v>616</v>
      </c>
      <c r="B601" s="602" t="s">
        <v>164</v>
      </c>
      <c r="C601" s="602" t="s">
        <v>148</v>
      </c>
      <c r="D601" s="602" t="s">
        <v>606</v>
      </c>
      <c r="E601" s="602" t="s">
        <v>409</v>
      </c>
      <c r="F601" s="578">
        <f aca="true" t="shared" si="24" ref="F601:F607">G601</f>
        <v>0</v>
      </c>
      <c r="G601" s="152">
        <f>G604+G606</f>
        <v>0</v>
      </c>
      <c r="H601" s="578"/>
    </row>
    <row r="602" spans="1:8" s="392" customFormat="1" ht="38.25" customHeight="1" hidden="1">
      <c r="A602" s="337" t="s">
        <v>187</v>
      </c>
      <c r="B602" s="123" t="s">
        <v>164</v>
      </c>
      <c r="C602" s="123" t="s">
        <v>148</v>
      </c>
      <c r="D602" s="123" t="s">
        <v>606</v>
      </c>
      <c r="E602" s="123" t="s">
        <v>155</v>
      </c>
      <c r="F602" s="287">
        <f t="shared" si="24"/>
        <v>0</v>
      </c>
      <c r="G602" s="149">
        <f>G603</f>
        <v>0</v>
      </c>
      <c r="H602" s="287"/>
    </row>
    <row r="603" spans="1:8" s="392" customFormat="1" ht="48.75" customHeight="1" hidden="1">
      <c r="A603" s="126" t="s">
        <v>615</v>
      </c>
      <c r="B603" s="123" t="s">
        <v>164</v>
      </c>
      <c r="C603" s="123" t="s">
        <v>148</v>
      </c>
      <c r="D603" s="123" t="s">
        <v>606</v>
      </c>
      <c r="E603" s="123" t="s">
        <v>189</v>
      </c>
      <c r="F603" s="287">
        <f t="shared" si="24"/>
        <v>0</v>
      </c>
      <c r="G603" s="149">
        <v>0</v>
      </c>
      <c r="H603" s="287"/>
    </row>
    <row r="604" spans="1:8" s="392" customFormat="1" ht="49.5" customHeight="1" hidden="1">
      <c r="A604" s="126" t="s">
        <v>599</v>
      </c>
      <c r="B604" s="123" t="s">
        <v>164</v>
      </c>
      <c r="C604" s="123" t="s">
        <v>148</v>
      </c>
      <c r="D604" s="123" t="s">
        <v>606</v>
      </c>
      <c r="E604" s="123" t="s">
        <v>600</v>
      </c>
      <c r="F604" s="287">
        <f t="shared" si="24"/>
        <v>0</v>
      </c>
      <c r="G604" s="149">
        <f>G605</f>
        <v>0</v>
      </c>
      <c r="H604" s="287"/>
    </row>
    <row r="605" spans="1:8" s="392" customFormat="1" ht="18" customHeight="1" hidden="1">
      <c r="A605" s="126" t="s">
        <v>601</v>
      </c>
      <c r="B605" s="123" t="s">
        <v>164</v>
      </c>
      <c r="C605" s="123" t="s">
        <v>148</v>
      </c>
      <c r="D605" s="123" t="s">
        <v>606</v>
      </c>
      <c r="E605" s="123" t="s">
        <v>602</v>
      </c>
      <c r="F605" s="287">
        <f t="shared" si="24"/>
        <v>0</v>
      </c>
      <c r="G605" s="149">
        <f>86+40-40-86</f>
        <v>0</v>
      </c>
      <c r="H605" s="287"/>
    </row>
    <row r="606" spans="1:8" s="392" customFormat="1" ht="45" customHeight="1" hidden="1">
      <c r="A606" s="54" t="s">
        <v>605</v>
      </c>
      <c r="B606" s="18" t="s">
        <v>164</v>
      </c>
      <c r="C606" s="18" t="s">
        <v>148</v>
      </c>
      <c r="D606" s="18" t="s">
        <v>604</v>
      </c>
      <c r="E606" s="18" t="s">
        <v>211</v>
      </c>
      <c r="F606" s="149">
        <f t="shared" si="24"/>
        <v>0</v>
      </c>
      <c r="G606" s="149">
        <f>G607</f>
        <v>0</v>
      </c>
      <c r="H606" s="149"/>
    </row>
    <row r="607" spans="1:8" s="392" customFormat="1" ht="18" customHeight="1" hidden="1">
      <c r="A607" s="54" t="s">
        <v>175</v>
      </c>
      <c r="B607" s="18" t="s">
        <v>164</v>
      </c>
      <c r="C607" s="18" t="s">
        <v>148</v>
      </c>
      <c r="D607" s="18" t="s">
        <v>604</v>
      </c>
      <c r="E607" s="18" t="s">
        <v>287</v>
      </c>
      <c r="F607" s="149">
        <f t="shared" si="24"/>
        <v>0</v>
      </c>
      <c r="G607" s="149">
        <v>0</v>
      </c>
      <c r="H607" s="149"/>
    </row>
    <row r="608" spans="1:8" s="392" customFormat="1" ht="48" customHeight="1">
      <c r="A608" s="59" t="s">
        <v>761</v>
      </c>
      <c r="B608" s="55" t="s">
        <v>164</v>
      </c>
      <c r="C608" s="55" t="s">
        <v>148</v>
      </c>
      <c r="D608" s="55" t="s">
        <v>757</v>
      </c>
      <c r="E608" s="55" t="s">
        <v>409</v>
      </c>
      <c r="F608" s="152">
        <f>G608+H608</f>
        <v>254</v>
      </c>
      <c r="G608" s="152">
        <f>G609</f>
        <v>254</v>
      </c>
      <c r="H608" s="152"/>
    </row>
    <row r="609" spans="1:8" s="392" customFormat="1" ht="34.5" customHeight="1">
      <c r="A609" s="54" t="s">
        <v>187</v>
      </c>
      <c r="B609" s="18" t="s">
        <v>164</v>
      </c>
      <c r="C609" s="18" t="s">
        <v>148</v>
      </c>
      <c r="D609" s="18" t="s">
        <v>757</v>
      </c>
      <c r="E609" s="18" t="s">
        <v>155</v>
      </c>
      <c r="F609" s="149">
        <f>G609+H609</f>
        <v>254</v>
      </c>
      <c r="G609" s="149">
        <f>G610</f>
        <v>254</v>
      </c>
      <c r="H609" s="149"/>
    </row>
    <row r="610" spans="1:8" s="392" customFormat="1" ht="48.75" customHeight="1">
      <c r="A610" s="109" t="s">
        <v>188</v>
      </c>
      <c r="B610" s="18" t="s">
        <v>164</v>
      </c>
      <c r="C610" s="18" t="s">
        <v>148</v>
      </c>
      <c r="D610" s="18" t="s">
        <v>757</v>
      </c>
      <c r="E610" s="18" t="s">
        <v>189</v>
      </c>
      <c r="F610" s="149">
        <f>G610+H610</f>
        <v>254</v>
      </c>
      <c r="G610" s="149">
        <f>375+212+40-373</f>
        <v>254</v>
      </c>
      <c r="H610" s="149"/>
    </row>
    <row r="611" spans="1:8" s="392" customFormat="1" ht="48" customHeight="1" hidden="1">
      <c r="A611" s="143" t="s">
        <v>720</v>
      </c>
      <c r="B611" s="41" t="s">
        <v>164</v>
      </c>
      <c r="C611" s="41" t="s">
        <v>148</v>
      </c>
      <c r="D611" s="41" t="s">
        <v>89</v>
      </c>
      <c r="E611" s="41" t="s">
        <v>409</v>
      </c>
      <c r="F611" s="294">
        <f aca="true" t="shared" si="25" ref="F611:F617">G611+H611</f>
        <v>0</v>
      </c>
      <c r="G611" s="294">
        <f>G612+G615</f>
        <v>0</v>
      </c>
      <c r="H611" s="294">
        <f>H612+H615</f>
        <v>0</v>
      </c>
    </row>
    <row r="612" spans="1:8" s="392" customFormat="1" ht="64.5" customHeight="1" hidden="1">
      <c r="A612" s="87" t="s">
        <v>728</v>
      </c>
      <c r="B612" s="18" t="s">
        <v>164</v>
      </c>
      <c r="C612" s="18" t="s">
        <v>148</v>
      </c>
      <c r="D612" s="18" t="s">
        <v>723</v>
      </c>
      <c r="E612" s="18" t="s">
        <v>409</v>
      </c>
      <c r="F612" s="149">
        <f t="shared" si="25"/>
        <v>0</v>
      </c>
      <c r="G612" s="149"/>
      <c r="H612" s="149">
        <f>H613</f>
        <v>0</v>
      </c>
    </row>
    <row r="613" spans="1:8" s="392" customFormat="1" ht="45" customHeight="1" hidden="1">
      <c r="A613" s="54" t="s">
        <v>605</v>
      </c>
      <c r="B613" s="18" t="s">
        <v>164</v>
      </c>
      <c r="C613" s="18" t="s">
        <v>148</v>
      </c>
      <c r="D613" s="18" t="s">
        <v>723</v>
      </c>
      <c r="E613" s="18" t="s">
        <v>211</v>
      </c>
      <c r="F613" s="149">
        <f t="shared" si="25"/>
        <v>0</v>
      </c>
      <c r="G613" s="149"/>
      <c r="H613" s="149">
        <f>H614</f>
        <v>0</v>
      </c>
    </row>
    <row r="614" spans="1:8" s="392" customFormat="1" ht="18.75" customHeight="1" hidden="1">
      <c r="A614" s="54" t="s">
        <v>175</v>
      </c>
      <c r="B614" s="18" t="s">
        <v>164</v>
      </c>
      <c r="C614" s="18" t="s">
        <v>148</v>
      </c>
      <c r="D614" s="18" t="s">
        <v>723</v>
      </c>
      <c r="E614" s="18" t="s">
        <v>287</v>
      </c>
      <c r="F614" s="149">
        <f t="shared" si="25"/>
        <v>0</v>
      </c>
      <c r="G614" s="149"/>
      <c r="H614" s="149">
        <v>0</v>
      </c>
    </row>
    <row r="615" spans="1:8" s="392" customFormat="1" ht="81" customHeight="1" hidden="1">
      <c r="A615" s="87" t="s">
        <v>729</v>
      </c>
      <c r="B615" s="18" t="s">
        <v>164</v>
      </c>
      <c r="C615" s="18" t="s">
        <v>148</v>
      </c>
      <c r="D615" s="18" t="s">
        <v>724</v>
      </c>
      <c r="E615" s="18" t="s">
        <v>409</v>
      </c>
      <c r="F615" s="149">
        <f t="shared" si="25"/>
        <v>0</v>
      </c>
      <c r="G615" s="149">
        <f>G616</f>
        <v>0</v>
      </c>
      <c r="H615" s="149"/>
    </row>
    <row r="616" spans="1:8" s="392" customFormat="1" ht="42.75" customHeight="1" hidden="1">
      <c r="A616" s="54" t="s">
        <v>605</v>
      </c>
      <c r="B616" s="18" t="s">
        <v>164</v>
      </c>
      <c r="C616" s="18" t="s">
        <v>148</v>
      </c>
      <c r="D616" s="18" t="s">
        <v>724</v>
      </c>
      <c r="E616" s="18" t="s">
        <v>211</v>
      </c>
      <c r="F616" s="149">
        <f t="shared" si="25"/>
        <v>0</v>
      </c>
      <c r="G616" s="149">
        <f>G617</f>
        <v>0</v>
      </c>
      <c r="H616" s="149"/>
    </row>
    <row r="617" spans="1:8" s="392" customFormat="1" ht="18.75" customHeight="1" hidden="1">
      <c r="A617" s="54" t="s">
        <v>175</v>
      </c>
      <c r="B617" s="18" t="s">
        <v>164</v>
      </c>
      <c r="C617" s="18" t="s">
        <v>148</v>
      </c>
      <c r="D617" s="18" t="s">
        <v>724</v>
      </c>
      <c r="E617" s="18" t="s">
        <v>287</v>
      </c>
      <c r="F617" s="149">
        <f t="shared" si="25"/>
        <v>0</v>
      </c>
      <c r="G617" s="149">
        <v>0</v>
      </c>
      <c r="H617" s="149"/>
    </row>
    <row r="618" spans="1:8" s="392" customFormat="1" ht="64.5" customHeight="1" hidden="1">
      <c r="A618" s="143" t="s">
        <v>762</v>
      </c>
      <c r="B618" s="41" t="s">
        <v>164</v>
      </c>
      <c r="C618" s="41" t="s">
        <v>148</v>
      </c>
      <c r="D618" s="41" t="s">
        <v>89</v>
      </c>
      <c r="E618" s="41" t="s">
        <v>409</v>
      </c>
      <c r="F618" s="294">
        <f>G618+H618</f>
        <v>0</v>
      </c>
      <c r="G618" s="294">
        <f>G622</f>
        <v>0</v>
      </c>
      <c r="H618" s="294">
        <f>H619</f>
        <v>0</v>
      </c>
    </row>
    <row r="619" spans="1:8" s="392" customFormat="1" ht="96.75" customHeight="1" hidden="1">
      <c r="A619" s="87" t="s">
        <v>764</v>
      </c>
      <c r="B619" s="55" t="s">
        <v>164</v>
      </c>
      <c r="C619" s="55" t="s">
        <v>148</v>
      </c>
      <c r="D619" s="55" t="s">
        <v>763</v>
      </c>
      <c r="E619" s="55" t="s">
        <v>409</v>
      </c>
      <c r="F619" s="152">
        <f aca="true" t="shared" si="26" ref="F619:F624">G619+H619</f>
        <v>0</v>
      </c>
      <c r="G619" s="152"/>
      <c r="H619" s="152">
        <f>H620</f>
        <v>0</v>
      </c>
    </row>
    <row r="620" spans="1:8" s="392" customFormat="1" ht="36" customHeight="1" hidden="1">
      <c r="A620" s="54" t="s">
        <v>187</v>
      </c>
      <c r="B620" s="18" t="s">
        <v>164</v>
      </c>
      <c r="C620" s="18" t="s">
        <v>148</v>
      </c>
      <c r="D620" s="18" t="s">
        <v>763</v>
      </c>
      <c r="E620" s="18" t="s">
        <v>155</v>
      </c>
      <c r="F620" s="149">
        <f t="shared" si="26"/>
        <v>0</v>
      </c>
      <c r="G620" s="149"/>
      <c r="H620" s="149">
        <f>H621</f>
        <v>0</v>
      </c>
    </row>
    <row r="621" spans="1:8" s="392" customFormat="1" ht="48" customHeight="1" hidden="1">
      <c r="A621" s="109" t="s">
        <v>188</v>
      </c>
      <c r="B621" s="18" t="s">
        <v>164</v>
      </c>
      <c r="C621" s="18" t="s">
        <v>148</v>
      </c>
      <c r="D621" s="18" t="s">
        <v>763</v>
      </c>
      <c r="E621" s="18" t="s">
        <v>189</v>
      </c>
      <c r="F621" s="149">
        <f t="shared" si="26"/>
        <v>0</v>
      </c>
      <c r="G621" s="149"/>
      <c r="H621" s="149">
        <v>0</v>
      </c>
    </row>
    <row r="622" spans="1:8" s="392" customFormat="1" ht="114.75" customHeight="1" hidden="1">
      <c r="A622" s="59" t="s">
        <v>765</v>
      </c>
      <c r="B622" s="55" t="s">
        <v>164</v>
      </c>
      <c r="C622" s="55" t="s">
        <v>148</v>
      </c>
      <c r="D622" s="55" t="s">
        <v>766</v>
      </c>
      <c r="E622" s="55" t="s">
        <v>409</v>
      </c>
      <c r="F622" s="152">
        <f t="shared" si="26"/>
        <v>0</v>
      </c>
      <c r="G622" s="152">
        <f>G623</f>
        <v>0</v>
      </c>
      <c r="H622" s="152"/>
    </row>
    <row r="623" spans="1:8" s="392" customFormat="1" ht="36" customHeight="1" hidden="1">
      <c r="A623" s="54" t="s">
        <v>187</v>
      </c>
      <c r="B623" s="18" t="s">
        <v>164</v>
      </c>
      <c r="C623" s="18" t="s">
        <v>148</v>
      </c>
      <c r="D623" s="18" t="s">
        <v>766</v>
      </c>
      <c r="E623" s="18" t="s">
        <v>155</v>
      </c>
      <c r="F623" s="149">
        <f t="shared" si="26"/>
        <v>0</v>
      </c>
      <c r="G623" s="149">
        <f>G624</f>
        <v>0</v>
      </c>
      <c r="H623" s="149"/>
    </row>
    <row r="624" spans="1:8" s="392" customFormat="1" ht="47.25" customHeight="1" hidden="1">
      <c r="A624" s="109" t="s">
        <v>188</v>
      </c>
      <c r="B624" s="18" t="s">
        <v>164</v>
      </c>
      <c r="C624" s="18" t="s">
        <v>148</v>
      </c>
      <c r="D624" s="18" t="s">
        <v>766</v>
      </c>
      <c r="E624" s="18" t="s">
        <v>189</v>
      </c>
      <c r="F624" s="149">
        <f t="shared" si="26"/>
        <v>0</v>
      </c>
      <c r="G624" s="149">
        <v>0</v>
      </c>
      <c r="H624" s="149"/>
    </row>
    <row r="625" spans="1:8" s="409" customFormat="1" ht="49.5" customHeight="1">
      <c r="A625" s="150" t="s">
        <v>234</v>
      </c>
      <c r="B625" s="24" t="s">
        <v>166</v>
      </c>
      <c r="C625" s="24" t="s">
        <v>147</v>
      </c>
      <c r="D625" s="24" t="s">
        <v>320</v>
      </c>
      <c r="E625" s="24" t="s">
        <v>409</v>
      </c>
      <c r="F625" s="291">
        <f aca="true" t="shared" si="27" ref="F625:F640">G625+H625</f>
        <v>1090</v>
      </c>
      <c r="G625" s="286">
        <f>G626</f>
        <v>1090</v>
      </c>
      <c r="H625" s="286">
        <f>H626</f>
        <v>0</v>
      </c>
    </row>
    <row r="626" spans="1:8" ht="33.75" customHeight="1">
      <c r="A626" s="54" t="s">
        <v>415</v>
      </c>
      <c r="B626" s="17" t="s">
        <v>166</v>
      </c>
      <c r="C626" s="17" t="s">
        <v>146</v>
      </c>
      <c r="D626" s="17" t="s">
        <v>320</v>
      </c>
      <c r="E626" s="17" t="s">
        <v>409</v>
      </c>
      <c r="F626" s="149">
        <f t="shared" si="27"/>
        <v>1090</v>
      </c>
      <c r="G626" s="149">
        <f>G627</f>
        <v>1090</v>
      </c>
      <c r="H626" s="149">
        <f>H628</f>
        <v>0</v>
      </c>
    </row>
    <row r="627" spans="1:8" ht="78" customHeight="1">
      <c r="A627" s="103" t="s">
        <v>548</v>
      </c>
      <c r="B627" s="122" t="s">
        <v>166</v>
      </c>
      <c r="C627" s="122" t="s">
        <v>146</v>
      </c>
      <c r="D627" s="122" t="s">
        <v>530</v>
      </c>
      <c r="E627" s="122" t="s">
        <v>409</v>
      </c>
      <c r="F627" s="299">
        <f t="shared" si="27"/>
        <v>1090</v>
      </c>
      <c r="G627" s="299">
        <f>G628</f>
        <v>1090</v>
      </c>
      <c r="H627" s="299">
        <v>0</v>
      </c>
    </row>
    <row r="628" spans="1:8" ht="33" customHeight="1">
      <c r="A628" s="80" t="s">
        <v>356</v>
      </c>
      <c r="B628" s="81" t="s">
        <v>166</v>
      </c>
      <c r="C628" s="81" t="s">
        <v>146</v>
      </c>
      <c r="D628" s="81" t="s">
        <v>525</v>
      </c>
      <c r="E628" s="81" t="s">
        <v>409</v>
      </c>
      <c r="F628" s="293">
        <f t="shared" si="27"/>
        <v>1090</v>
      </c>
      <c r="G628" s="293">
        <f>G629</f>
        <v>1090</v>
      </c>
      <c r="H628" s="293">
        <f>H629</f>
        <v>0</v>
      </c>
    </row>
    <row r="629" spans="1:8" ht="33" customHeight="1">
      <c r="A629" s="80" t="s">
        <v>535</v>
      </c>
      <c r="B629" s="81" t="s">
        <v>166</v>
      </c>
      <c r="C629" s="81" t="s">
        <v>146</v>
      </c>
      <c r="D629" s="81" t="s">
        <v>525</v>
      </c>
      <c r="E629" s="81" t="s">
        <v>409</v>
      </c>
      <c r="F629" s="293">
        <f t="shared" si="27"/>
        <v>1090</v>
      </c>
      <c r="G629" s="293">
        <f>G630</f>
        <v>1090</v>
      </c>
      <c r="H629" s="293">
        <f>H631</f>
        <v>0</v>
      </c>
    </row>
    <row r="630" spans="1:8" ht="33" customHeight="1">
      <c r="A630" s="80" t="s">
        <v>206</v>
      </c>
      <c r="B630" s="81" t="s">
        <v>166</v>
      </c>
      <c r="C630" s="81" t="s">
        <v>146</v>
      </c>
      <c r="D630" s="81" t="s">
        <v>525</v>
      </c>
      <c r="E630" s="81" t="s">
        <v>207</v>
      </c>
      <c r="F630" s="293">
        <f t="shared" si="27"/>
        <v>1090</v>
      </c>
      <c r="G630" s="293">
        <f>G631</f>
        <v>1090</v>
      </c>
      <c r="H630" s="293"/>
    </row>
    <row r="631" spans="1:8" ht="17.25" customHeight="1">
      <c r="A631" s="80" t="s">
        <v>236</v>
      </c>
      <c r="B631" s="81" t="s">
        <v>166</v>
      </c>
      <c r="C631" s="81" t="s">
        <v>146</v>
      </c>
      <c r="D631" s="81" t="s">
        <v>525</v>
      </c>
      <c r="E631" s="81" t="s">
        <v>333</v>
      </c>
      <c r="F631" s="293">
        <f t="shared" si="27"/>
        <v>1090</v>
      </c>
      <c r="G631" s="293">
        <v>1090</v>
      </c>
      <c r="H631" s="293"/>
    </row>
    <row r="632" spans="1:8" s="409" customFormat="1" ht="78.75" customHeight="1">
      <c r="A632" s="150" t="s">
        <v>237</v>
      </c>
      <c r="B632" s="24" t="s">
        <v>238</v>
      </c>
      <c r="C632" s="24" t="s">
        <v>147</v>
      </c>
      <c r="D632" s="24" t="s">
        <v>320</v>
      </c>
      <c r="E632" s="24" t="s">
        <v>409</v>
      </c>
      <c r="F632" s="291">
        <f t="shared" si="27"/>
        <v>20599.051</v>
      </c>
      <c r="G632" s="286">
        <f>G634+G641+G643+G647</f>
        <v>9307.974999999999</v>
      </c>
      <c r="H632" s="286">
        <f>H634+H643</f>
        <v>11291.076</v>
      </c>
    </row>
    <row r="633" spans="1:8" s="409" customFormat="1" ht="79.5" customHeight="1">
      <c r="A633" s="103" t="s">
        <v>548</v>
      </c>
      <c r="B633" s="132" t="s">
        <v>238</v>
      </c>
      <c r="C633" s="132" t="s">
        <v>147</v>
      </c>
      <c r="D633" s="132" t="s">
        <v>530</v>
      </c>
      <c r="E633" s="132" t="s">
        <v>409</v>
      </c>
      <c r="F633" s="300">
        <f t="shared" si="27"/>
        <v>20599.051</v>
      </c>
      <c r="G633" s="300">
        <f>G634+G642+G644+G648</f>
        <v>9307.974999999999</v>
      </c>
      <c r="H633" s="300">
        <f>H635+H644</f>
        <v>11291.076</v>
      </c>
    </row>
    <row r="634" spans="1:8" s="400" customFormat="1" ht="48.75" customHeight="1">
      <c r="A634" s="80" t="s">
        <v>239</v>
      </c>
      <c r="B634" s="81" t="s">
        <v>238</v>
      </c>
      <c r="C634" s="81" t="s">
        <v>146</v>
      </c>
      <c r="D634" s="81" t="s">
        <v>530</v>
      </c>
      <c r="E634" s="81" t="s">
        <v>409</v>
      </c>
      <c r="F634" s="293">
        <f t="shared" si="27"/>
        <v>19879.051</v>
      </c>
      <c r="G634" s="293">
        <f>G639</f>
        <v>8587.974999999999</v>
      </c>
      <c r="H634" s="293">
        <f>H635</f>
        <v>11291.076</v>
      </c>
    </row>
    <row r="635" spans="1:9" ht="50.25" customHeight="1">
      <c r="A635" s="88" t="s">
        <v>240</v>
      </c>
      <c r="B635" s="52" t="s">
        <v>238</v>
      </c>
      <c r="C635" s="52" t="s">
        <v>146</v>
      </c>
      <c r="D635" s="122" t="s">
        <v>522</v>
      </c>
      <c r="E635" s="52" t="s">
        <v>409</v>
      </c>
      <c r="F635" s="152">
        <f t="shared" si="27"/>
        <v>11291.076</v>
      </c>
      <c r="G635" s="152">
        <f>G636</f>
        <v>0</v>
      </c>
      <c r="H635" s="152">
        <f>H636</f>
        <v>11291.076</v>
      </c>
      <c r="I635" s="413"/>
    </row>
    <row r="636" spans="1:8" ht="18.75" customHeight="1">
      <c r="A636" s="62" t="s">
        <v>198</v>
      </c>
      <c r="B636" s="17" t="s">
        <v>238</v>
      </c>
      <c r="C636" s="17" t="s">
        <v>146</v>
      </c>
      <c r="D636" s="81" t="s">
        <v>522</v>
      </c>
      <c r="E636" s="17" t="s">
        <v>409</v>
      </c>
      <c r="F636" s="149">
        <f t="shared" si="27"/>
        <v>11291.076</v>
      </c>
      <c r="G636" s="149">
        <f>G637</f>
        <v>0</v>
      </c>
      <c r="H636" s="149">
        <f>H637+H639</f>
        <v>11291.076</v>
      </c>
    </row>
    <row r="637" spans="1:8" ht="96" customHeight="1">
      <c r="A637" s="62" t="s">
        <v>336</v>
      </c>
      <c r="B637" s="17" t="s">
        <v>238</v>
      </c>
      <c r="C637" s="17" t="s">
        <v>146</v>
      </c>
      <c r="D637" s="81" t="s">
        <v>522</v>
      </c>
      <c r="E637" s="17" t="s">
        <v>409</v>
      </c>
      <c r="F637" s="149">
        <f t="shared" si="27"/>
        <v>11291.076</v>
      </c>
      <c r="G637" s="293">
        <f>G638</f>
        <v>0</v>
      </c>
      <c r="H637" s="149">
        <f>H638</f>
        <v>11291.076</v>
      </c>
    </row>
    <row r="638" spans="1:8" ht="18" customHeight="1">
      <c r="A638" s="62" t="s">
        <v>208</v>
      </c>
      <c r="B638" s="17" t="s">
        <v>238</v>
      </c>
      <c r="C638" s="17" t="s">
        <v>146</v>
      </c>
      <c r="D638" s="81" t="s">
        <v>522</v>
      </c>
      <c r="E638" s="17" t="s">
        <v>209</v>
      </c>
      <c r="F638" s="149">
        <f t="shared" si="27"/>
        <v>11291.076</v>
      </c>
      <c r="G638" s="293">
        <v>0</v>
      </c>
      <c r="H638" s="149">
        <v>11291.076</v>
      </c>
    </row>
    <row r="639" spans="1:8" ht="51" customHeight="1">
      <c r="A639" s="88" t="s">
        <v>313</v>
      </c>
      <c r="B639" s="52" t="s">
        <v>238</v>
      </c>
      <c r="C639" s="52" t="s">
        <v>146</v>
      </c>
      <c r="D639" s="122" t="s">
        <v>523</v>
      </c>
      <c r="E639" s="52" t="s">
        <v>409</v>
      </c>
      <c r="F639" s="152">
        <f t="shared" si="27"/>
        <v>8587.974999999999</v>
      </c>
      <c r="G639" s="299">
        <f>G640</f>
        <v>8587.974999999999</v>
      </c>
      <c r="H639" s="152">
        <f>H640</f>
        <v>0</v>
      </c>
    </row>
    <row r="640" spans="1:8" ht="16.5" customHeight="1">
      <c r="A640" s="62" t="s">
        <v>208</v>
      </c>
      <c r="B640" s="17" t="s">
        <v>238</v>
      </c>
      <c r="C640" s="17" t="s">
        <v>146</v>
      </c>
      <c r="D640" s="81" t="s">
        <v>523</v>
      </c>
      <c r="E640" s="17" t="s">
        <v>209</v>
      </c>
      <c r="F640" s="149">
        <f t="shared" si="27"/>
        <v>8587.974999999999</v>
      </c>
      <c r="G640" s="149">
        <f>8375.417+212.558</f>
        <v>8587.974999999999</v>
      </c>
      <c r="H640" s="149"/>
    </row>
    <row r="641" spans="1:8" ht="48" customHeight="1" hidden="1">
      <c r="A641" s="54" t="s">
        <v>313</v>
      </c>
      <c r="B641" s="18" t="s">
        <v>238</v>
      </c>
      <c r="C641" s="18" t="s">
        <v>146</v>
      </c>
      <c r="D641" s="81" t="s">
        <v>18</v>
      </c>
      <c r="E641" s="18" t="s">
        <v>409</v>
      </c>
      <c r="F641" s="149">
        <f>G641</f>
        <v>0</v>
      </c>
      <c r="G641" s="149">
        <f>G642</f>
        <v>0</v>
      </c>
      <c r="H641" s="149">
        <f>H642</f>
        <v>0</v>
      </c>
    </row>
    <row r="642" spans="1:8" ht="17.25" customHeight="1" hidden="1">
      <c r="A642" s="54" t="s">
        <v>196</v>
      </c>
      <c r="B642" s="18" t="s">
        <v>238</v>
      </c>
      <c r="C642" s="18" t="s">
        <v>146</v>
      </c>
      <c r="D642" s="81" t="s">
        <v>18</v>
      </c>
      <c r="E642" s="18" t="s">
        <v>209</v>
      </c>
      <c r="F642" s="149">
        <f>G642</f>
        <v>0</v>
      </c>
      <c r="G642" s="149"/>
      <c r="H642" s="149"/>
    </row>
    <row r="643" spans="1:8" s="400" customFormat="1" ht="33" customHeight="1">
      <c r="A643" s="103" t="s">
        <v>346</v>
      </c>
      <c r="B643" s="122" t="s">
        <v>238</v>
      </c>
      <c r="C643" s="122" t="s">
        <v>153</v>
      </c>
      <c r="D643" s="122" t="s">
        <v>530</v>
      </c>
      <c r="E643" s="122" t="s">
        <v>409</v>
      </c>
      <c r="F643" s="299">
        <f>G643+H643</f>
        <v>720</v>
      </c>
      <c r="G643" s="152">
        <f>G644</f>
        <v>720</v>
      </c>
      <c r="H643" s="299">
        <f>H644</f>
        <v>0</v>
      </c>
    </row>
    <row r="644" spans="1:8" ht="33" customHeight="1">
      <c r="A644" s="62" t="s">
        <v>456</v>
      </c>
      <c r="B644" s="17" t="s">
        <v>238</v>
      </c>
      <c r="C644" s="17" t="s">
        <v>153</v>
      </c>
      <c r="D644" s="81" t="s">
        <v>530</v>
      </c>
      <c r="E644" s="17" t="s">
        <v>409</v>
      </c>
      <c r="F644" s="149">
        <f>G644+H644</f>
        <v>720</v>
      </c>
      <c r="G644" s="149">
        <f>G645</f>
        <v>720</v>
      </c>
      <c r="H644" s="149">
        <f>H646</f>
        <v>0</v>
      </c>
    </row>
    <row r="645" spans="1:8" ht="18.75" customHeight="1">
      <c r="A645" s="62" t="s">
        <v>198</v>
      </c>
      <c r="B645" s="17" t="s">
        <v>238</v>
      </c>
      <c r="C645" s="17" t="s">
        <v>153</v>
      </c>
      <c r="D645" s="81" t="s">
        <v>530</v>
      </c>
      <c r="E645" s="17" t="s">
        <v>199</v>
      </c>
      <c r="F645" s="149">
        <f>G645+H645</f>
        <v>720</v>
      </c>
      <c r="G645" s="149">
        <f>G646+G650</f>
        <v>720</v>
      </c>
      <c r="H645" s="149"/>
    </row>
    <row r="646" spans="1:8" ht="17.25" customHeight="1">
      <c r="A646" s="54" t="s">
        <v>302</v>
      </c>
      <c r="B646" s="18" t="s">
        <v>238</v>
      </c>
      <c r="C646" s="18" t="s">
        <v>153</v>
      </c>
      <c r="D646" s="18" t="s">
        <v>524</v>
      </c>
      <c r="E646" s="18" t="s">
        <v>455</v>
      </c>
      <c r="F646" s="149">
        <f>G646+H646</f>
        <v>720</v>
      </c>
      <c r="G646" s="149">
        <f>450+170+100</f>
        <v>720</v>
      </c>
      <c r="H646" s="149"/>
    </row>
    <row r="647" spans="1:8" ht="32.25" customHeight="1" hidden="1">
      <c r="A647" s="54" t="s">
        <v>346</v>
      </c>
      <c r="B647" s="18" t="s">
        <v>238</v>
      </c>
      <c r="C647" s="18" t="s">
        <v>153</v>
      </c>
      <c r="D647" s="18" t="s">
        <v>524</v>
      </c>
      <c r="E647" s="18" t="s">
        <v>455</v>
      </c>
      <c r="F647" s="149">
        <f>G647</f>
        <v>0</v>
      </c>
      <c r="G647" s="149">
        <f>G648</f>
        <v>0</v>
      </c>
      <c r="H647" s="149"/>
    </row>
    <row r="648" spans="1:8" ht="24.75" customHeight="1" hidden="1">
      <c r="A648" s="54" t="s">
        <v>198</v>
      </c>
      <c r="B648" s="18" t="s">
        <v>238</v>
      </c>
      <c r="C648" s="18" t="s">
        <v>153</v>
      </c>
      <c r="D648" s="18" t="s">
        <v>524</v>
      </c>
      <c r="E648" s="18" t="s">
        <v>455</v>
      </c>
      <c r="F648" s="149">
        <f>G648</f>
        <v>0</v>
      </c>
      <c r="G648" s="149">
        <f>G649</f>
        <v>0</v>
      </c>
      <c r="H648" s="149"/>
    </row>
    <row r="649" spans="1:8" ht="147.75" customHeight="1" hidden="1">
      <c r="A649" s="54" t="s">
        <v>512</v>
      </c>
      <c r="B649" s="18" t="s">
        <v>238</v>
      </c>
      <c r="C649" s="18" t="s">
        <v>153</v>
      </c>
      <c r="D649" s="18" t="s">
        <v>524</v>
      </c>
      <c r="E649" s="18" t="s">
        <v>455</v>
      </c>
      <c r="F649" s="149">
        <f>G649</f>
        <v>0</v>
      </c>
      <c r="G649" s="149"/>
      <c r="H649" s="149"/>
    </row>
    <row r="650" spans="1:8" ht="82.5" customHeight="1" hidden="1">
      <c r="A650" s="54" t="s">
        <v>693</v>
      </c>
      <c r="B650" s="18" t="s">
        <v>238</v>
      </c>
      <c r="C650" s="18" t="s">
        <v>153</v>
      </c>
      <c r="D650" s="18" t="s">
        <v>733</v>
      </c>
      <c r="E650" s="18" t="s">
        <v>455</v>
      </c>
      <c r="F650" s="149">
        <f>G650</f>
        <v>0</v>
      </c>
      <c r="G650" s="149">
        <v>0</v>
      </c>
      <c r="H650" s="149"/>
    </row>
    <row r="651" spans="1:9" ht="18" customHeight="1">
      <c r="A651" s="166" t="s">
        <v>244</v>
      </c>
      <c r="B651" s="167"/>
      <c r="C651" s="167"/>
      <c r="D651" s="167"/>
      <c r="E651" s="167"/>
      <c r="F651" s="168">
        <f>H651+G651</f>
        <v>608030.87351</v>
      </c>
      <c r="G651" s="168">
        <f>G13+G180+G186+G202+G207+G254+G303+G484+G587+G625+G632+G543</f>
        <v>310418.97013</v>
      </c>
      <c r="H651" s="168">
        <f>H13+H180+H186+H202+H207+H254+H303+H484+H587+H625+H632+H543</f>
        <v>297611.90338</v>
      </c>
      <c r="I651" s="413"/>
    </row>
    <row r="652" spans="1:8" ht="15">
      <c r="A652" s="11"/>
      <c r="B652" s="11"/>
      <c r="C652" s="435"/>
      <c r="D652" s="436"/>
      <c r="E652" s="435"/>
      <c r="F652" s="406"/>
      <c r="G652" s="406"/>
      <c r="H652" s="406"/>
    </row>
    <row r="653" spans="4:8" ht="15.75">
      <c r="D653" s="585"/>
      <c r="E653" s="586"/>
      <c r="F653" s="587"/>
      <c r="G653" s="587"/>
      <c r="H653" s="587"/>
    </row>
    <row r="654" spans="4:8" ht="15.75">
      <c r="D654" s="588"/>
      <c r="E654" s="589"/>
      <c r="F654" s="587"/>
      <c r="G654" s="587"/>
      <c r="H654" s="587"/>
    </row>
    <row r="655" spans="4:11" ht="15.75">
      <c r="D655" s="590"/>
      <c r="F655" s="587"/>
      <c r="G655" s="587"/>
      <c r="H655" s="587"/>
      <c r="J655" s="413"/>
      <c r="K655" s="423"/>
    </row>
    <row r="656" spans="4:8" ht="15.75">
      <c r="D656" s="260"/>
      <c r="E656" s="260"/>
      <c r="F656" s="591"/>
      <c r="G656" s="591"/>
      <c r="H656" s="591"/>
    </row>
    <row r="657" spans="6:8" ht="15.75">
      <c r="F657" s="421"/>
      <c r="G657" s="421"/>
      <c r="H657" s="421"/>
    </row>
  </sheetData>
  <sheetProtection/>
  <mergeCells count="14">
    <mergeCell ref="F1:H1"/>
    <mergeCell ref="F2:H2"/>
    <mergeCell ref="F3:H3"/>
    <mergeCell ref="F4:H4"/>
    <mergeCell ref="A6:H6"/>
    <mergeCell ref="A7:H7"/>
    <mergeCell ref="A8:H8"/>
    <mergeCell ref="A10:A11"/>
    <mergeCell ref="B10:B11"/>
    <mergeCell ref="C10:C11"/>
    <mergeCell ref="D10:D11"/>
    <mergeCell ref="E10:E11"/>
    <mergeCell ref="F10:F11"/>
    <mergeCell ref="G10:H10"/>
  </mergeCells>
  <printOptions/>
  <pageMargins left="0.2362204724409449" right="0.2362204724409449" top="0.7480314960629921" bottom="0.7480314960629921" header="0.31496062992125984" footer="0.31496062992125984"/>
  <pageSetup fitToHeight="0" horizontalDpi="600" verticalDpi="600" orientation="portrait" paperSize="9" scale="50" r:id="rId1"/>
  <rowBreaks count="5" manualBreakCount="5">
    <brk id="336" max="7" man="1"/>
    <brk id="394" max="7" man="1"/>
    <brk id="438" max="7" man="1"/>
    <brk id="503" max="7" man="1"/>
    <brk id="550" max="7" man="1"/>
  </rowBreaks>
</worksheet>
</file>

<file path=xl/worksheets/sheet4.xml><?xml version="1.0" encoding="utf-8"?>
<worksheet xmlns="http://schemas.openxmlformats.org/spreadsheetml/2006/main" xmlns:r="http://schemas.openxmlformats.org/officeDocument/2006/relationships">
  <sheetPr>
    <tabColor rgb="FFFF0000"/>
  </sheetPr>
  <dimension ref="A1:L687"/>
  <sheetViews>
    <sheetView view="pageBreakPreview" zoomScale="90" zoomScaleSheetLayoutView="90" zoomScalePageLayoutView="0" workbookViewId="0" topLeftCell="A2">
      <selection activeCell="G4" sqref="G4:I4"/>
    </sheetView>
  </sheetViews>
  <sheetFormatPr defaultColWidth="8.75390625" defaultRowHeight="12.75"/>
  <cols>
    <col min="1" max="1" width="43.25390625" style="170" customWidth="1"/>
    <col min="2" max="2" width="5.375" style="48" customWidth="1"/>
    <col min="3" max="3" width="4.75390625" style="48" customWidth="1"/>
    <col min="4" max="4" width="5.25390625" style="48" customWidth="1"/>
    <col min="5" max="5" width="13.75390625" style="48" customWidth="1"/>
    <col min="6" max="6" width="5.25390625" style="48" customWidth="1"/>
    <col min="7" max="7" width="17.75390625" style="48" customWidth="1"/>
    <col min="8" max="8" width="18.25390625" style="48" customWidth="1"/>
    <col min="9" max="9" width="16.75390625" style="48" customWidth="1"/>
    <col min="10" max="10" width="14.00390625" style="29" customWidth="1"/>
    <col min="11" max="12" width="13.625" style="29" bestFit="1" customWidth="1"/>
    <col min="13" max="16384" width="8.75390625" style="29" customWidth="1"/>
  </cols>
  <sheetData>
    <row r="1" spans="2:9" ht="15">
      <c r="B1" s="552"/>
      <c r="C1" s="552"/>
      <c r="D1" s="552"/>
      <c r="F1" s="552"/>
      <c r="G1" s="646" t="s">
        <v>893</v>
      </c>
      <c r="H1" s="646"/>
      <c r="I1" s="646"/>
    </row>
    <row r="2" spans="2:9" ht="15">
      <c r="B2" s="49"/>
      <c r="C2" s="49"/>
      <c r="D2" s="49"/>
      <c r="E2" s="49"/>
      <c r="F2" s="646" t="s">
        <v>405</v>
      </c>
      <c r="G2" s="646"/>
      <c r="H2" s="646"/>
      <c r="I2" s="646"/>
    </row>
    <row r="3" spans="2:9" ht="15">
      <c r="B3" s="646"/>
      <c r="C3" s="646"/>
      <c r="D3" s="646"/>
      <c r="E3" s="646"/>
      <c r="F3" s="646"/>
      <c r="G3" s="646" t="s">
        <v>406</v>
      </c>
      <c r="H3" s="646"/>
      <c r="I3" s="646"/>
    </row>
    <row r="4" spans="2:9" ht="15">
      <c r="B4" s="647"/>
      <c r="C4" s="647"/>
      <c r="D4" s="647"/>
      <c r="E4" s="647"/>
      <c r="F4" s="647"/>
      <c r="G4" s="647" t="s">
        <v>943</v>
      </c>
      <c r="H4" s="647"/>
      <c r="I4" s="647"/>
    </row>
    <row r="6" spans="1:9" ht="14.25">
      <c r="A6" s="648" t="s">
        <v>407</v>
      </c>
      <c r="B6" s="648"/>
      <c r="C6" s="648"/>
      <c r="D6" s="648"/>
      <c r="E6" s="648"/>
      <c r="F6" s="648"/>
      <c r="G6" s="648"/>
      <c r="H6" s="648"/>
      <c r="I6" s="648"/>
    </row>
    <row r="7" spans="1:9" ht="35.25" customHeight="1">
      <c r="A7" s="649" t="s">
        <v>851</v>
      </c>
      <c r="B7" s="649"/>
      <c r="C7" s="649"/>
      <c r="D7" s="649"/>
      <c r="E7" s="649"/>
      <c r="F7" s="649"/>
      <c r="G7" s="649"/>
      <c r="H7" s="649"/>
      <c r="I7" s="649"/>
    </row>
    <row r="9" ht="15">
      <c r="I9" s="277" t="s">
        <v>135</v>
      </c>
    </row>
    <row r="10" spans="1:9" ht="15">
      <c r="A10" s="626" t="s">
        <v>347</v>
      </c>
      <c r="B10" s="626" t="s">
        <v>348</v>
      </c>
      <c r="C10" s="650" t="s">
        <v>142</v>
      </c>
      <c r="D10" s="650" t="s">
        <v>143</v>
      </c>
      <c r="E10" s="626" t="s">
        <v>349</v>
      </c>
      <c r="F10" s="626" t="s">
        <v>350</v>
      </c>
      <c r="G10" s="626" t="s">
        <v>519</v>
      </c>
      <c r="H10" s="626" t="s">
        <v>351</v>
      </c>
      <c r="I10" s="626"/>
    </row>
    <row r="11" spans="1:9" ht="15">
      <c r="A11" s="626"/>
      <c r="B11" s="626"/>
      <c r="C11" s="650"/>
      <c r="D11" s="650"/>
      <c r="E11" s="626"/>
      <c r="F11" s="626"/>
      <c r="G11" s="626"/>
      <c r="H11" s="120" t="s">
        <v>352</v>
      </c>
      <c r="I11" s="120" t="s">
        <v>288</v>
      </c>
    </row>
    <row r="12" spans="1:9" ht="30.75" customHeight="1">
      <c r="A12" s="112" t="s">
        <v>353</v>
      </c>
      <c r="B12" s="455">
        <v>951</v>
      </c>
      <c r="C12" s="455" t="s">
        <v>147</v>
      </c>
      <c r="D12" s="455" t="s">
        <v>147</v>
      </c>
      <c r="E12" s="455" t="s">
        <v>320</v>
      </c>
      <c r="F12" s="455" t="s">
        <v>409</v>
      </c>
      <c r="G12" s="224">
        <f>I12+H12</f>
        <v>146079.97092</v>
      </c>
      <c r="H12" s="224">
        <f>H13+H133+H138+H154+H159+H206+H256+H310+H367+H397+H424</f>
        <v>95550.82009</v>
      </c>
      <c r="I12" s="224">
        <f>I13+I133+I138+I154+I159+I206+I256+I310+I367+I397+I424</f>
        <v>50529.15083</v>
      </c>
    </row>
    <row r="13" spans="1:12" ht="18" customHeight="1">
      <c r="A13" s="225" t="s">
        <v>354</v>
      </c>
      <c r="B13" s="456">
        <v>951</v>
      </c>
      <c r="C13" s="456" t="s">
        <v>146</v>
      </c>
      <c r="D13" s="456" t="s">
        <v>147</v>
      </c>
      <c r="E13" s="456" t="s">
        <v>320</v>
      </c>
      <c r="F13" s="456" t="s">
        <v>409</v>
      </c>
      <c r="G13" s="306">
        <f>H13+I13</f>
        <v>33251.934680000006</v>
      </c>
      <c r="H13" s="306">
        <f>H14+H20+H30+H37+H43+H34</f>
        <v>27612.34901</v>
      </c>
      <c r="I13" s="306">
        <f>I14+I20+I30+I37+I43+I34</f>
        <v>5639.58567</v>
      </c>
      <c r="K13" s="553"/>
      <c r="L13" s="554"/>
    </row>
    <row r="14" spans="1:11" ht="44.25" customHeight="1">
      <c r="A14" s="104" t="s">
        <v>355</v>
      </c>
      <c r="B14" s="43">
        <v>951</v>
      </c>
      <c r="C14" s="66" t="s">
        <v>146</v>
      </c>
      <c r="D14" s="66" t="s">
        <v>148</v>
      </c>
      <c r="E14" s="66" t="s">
        <v>320</v>
      </c>
      <c r="F14" s="66" t="s">
        <v>409</v>
      </c>
      <c r="G14" s="188">
        <f>H14+I14</f>
        <v>1836.31</v>
      </c>
      <c r="H14" s="188">
        <f aca="true" t="shared" si="0" ref="H14:I18">H15</f>
        <v>1836.31</v>
      </c>
      <c r="I14" s="188">
        <f t="shared" si="0"/>
        <v>0</v>
      </c>
      <c r="J14" s="554"/>
      <c r="K14" s="554"/>
    </row>
    <row r="15" spans="1:9" ht="32.25" customHeight="1">
      <c r="A15" s="226" t="s">
        <v>149</v>
      </c>
      <c r="B15" s="43">
        <v>951</v>
      </c>
      <c r="C15" s="82" t="s">
        <v>146</v>
      </c>
      <c r="D15" s="82" t="s">
        <v>148</v>
      </c>
      <c r="E15" s="82" t="s">
        <v>10</v>
      </c>
      <c r="F15" s="82" t="s">
        <v>409</v>
      </c>
      <c r="G15" s="188">
        <f aca="true" t="shared" si="1" ref="G15:G135">H15+I15</f>
        <v>1836.31</v>
      </c>
      <c r="H15" s="188">
        <f t="shared" si="0"/>
        <v>1836.31</v>
      </c>
      <c r="I15" s="188">
        <f t="shared" si="0"/>
        <v>0</v>
      </c>
    </row>
    <row r="16" spans="1:9" ht="45.75" customHeight="1">
      <c r="A16" s="226" t="s">
        <v>150</v>
      </c>
      <c r="B16" s="43">
        <v>951</v>
      </c>
      <c r="C16" s="82" t="s">
        <v>146</v>
      </c>
      <c r="D16" s="82" t="s">
        <v>148</v>
      </c>
      <c r="E16" s="82" t="s">
        <v>11</v>
      </c>
      <c r="F16" s="82" t="s">
        <v>409</v>
      </c>
      <c r="G16" s="188">
        <f t="shared" si="1"/>
        <v>1836.31</v>
      </c>
      <c r="H16" s="188">
        <f t="shared" si="0"/>
        <v>1836.31</v>
      </c>
      <c r="I16" s="188">
        <f t="shared" si="0"/>
        <v>0</v>
      </c>
    </row>
    <row r="17" spans="1:9" ht="16.5" customHeight="1">
      <c r="A17" s="226" t="s">
        <v>414</v>
      </c>
      <c r="B17" s="43">
        <v>951</v>
      </c>
      <c r="C17" s="82" t="s">
        <v>146</v>
      </c>
      <c r="D17" s="82" t="s">
        <v>148</v>
      </c>
      <c r="E17" s="82" t="s">
        <v>12</v>
      </c>
      <c r="F17" s="82" t="s">
        <v>409</v>
      </c>
      <c r="G17" s="188">
        <f t="shared" si="1"/>
        <v>1836.31</v>
      </c>
      <c r="H17" s="188">
        <f t="shared" si="0"/>
        <v>1836.31</v>
      </c>
      <c r="I17" s="188">
        <f t="shared" si="0"/>
        <v>0</v>
      </c>
    </row>
    <row r="18" spans="1:9" ht="81" customHeight="1">
      <c r="A18" s="42" t="s">
        <v>184</v>
      </c>
      <c r="B18" s="43">
        <v>951</v>
      </c>
      <c r="C18" s="82" t="s">
        <v>146</v>
      </c>
      <c r="D18" s="82" t="s">
        <v>148</v>
      </c>
      <c r="E18" s="82" t="s">
        <v>12</v>
      </c>
      <c r="F18" s="82" t="s">
        <v>151</v>
      </c>
      <c r="G18" s="188">
        <f t="shared" si="1"/>
        <v>1836.31</v>
      </c>
      <c r="H18" s="188">
        <f t="shared" si="0"/>
        <v>1836.31</v>
      </c>
      <c r="I18" s="188">
        <f t="shared" si="0"/>
        <v>0</v>
      </c>
    </row>
    <row r="19" spans="1:9" ht="30" customHeight="1">
      <c r="A19" s="35" t="s">
        <v>186</v>
      </c>
      <c r="B19" s="43">
        <v>951</v>
      </c>
      <c r="C19" s="66" t="s">
        <v>146</v>
      </c>
      <c r="D19" s="66" t="s">
        <v>148</v>
      </c>
      <c r="E19" s="66" t="s">
        <v>12</v>
      </c>
      <c r="F19" s="66" t="s">
        <v>185</v>
      </c>
      <c r="G19" s="188">
        <f t="shared" si="1"/>
        <v>1836.31</v>
      </c>
      <c r="H19" s="188">
        <f>1836.31</f>
        <v>1836.31</v>
      </c>
      <c r="I19" s="188"/>
    </row>
    <row r="20" spans="1:11" ht="75">
      <c r="A20" s="35" t="s">
        <v>338</v>
      </c>
      <c r="B20" s="43">
        <v>951</v>
      </c>
      <c r="C20" s="66" t="s">
        <v>146</v>
      </c>
      <c r="D20" s="66" t="s">
        <v>157</v>
      </c>
      <c r="E20" s="66" t="s">
        <v>320</v>
      </c>
      <c r="F20" s="66" t="s">
        <v>409</v>
      </c>
      <c r="G20" s="188">
        <f t="shared" si="1"/>
        <v>19100.332</v>
      </c>
      <c r="H20" s="188">
        <f>H21</f>
        <v>19100.332</v>
      </c>
      <c r="I20" s="188">
        <f aca="true" t="shared" si="2" ref="H20:I22">I21</f>
        <v>0</v>
      </c>
      <c r="K20" s="554"/>
    </row>
    <row r="21" spans="1:9" ht="30">
      <c r="A21" s="35" t="s">
        <v>149</v>
      </c>
      <c r="B21" s="43">
        <v>951</v>
      </c>
      <c r="C21" s="66" t="s">
        <v>146</v>
      </c>
      <c r="D21" s="66" t="s">
        <v>157</v>
      </c>
      <c r="E21" s="66" t="s">
        <v>10</v>
      </c>
      <c r="F21" s="66" t="s">
        <v>409</v>
      </c>
      <c r="G21" s="188">
        <f t="shared" si="1"/>
        <v>19100.332</v>
      </c>
      <c r="H21" s="188">
        <f t="shared" si="2"/>
        <v>19100.332</v>
      </c>
      <c r="I21" s="188">
        <f t="shared" si="2"/>
        <v>0</v>
      </c>
    </row>
    <row r="22" spans="1:9" ht="45" customHeight="1">
      <c r="A22" s="35" t="s">
        <v>150</v>
      </c>
      <c r="B22" s="43">
        <v>951</v>
      </c>
      <c r="C22" s="66" t="s">
        <v>146</v>
      </c>
      <c r="D22" s="66" t="s">
        <v>157</v>
      </c>
      <c r="E22" s="66" t="s">
        <v>11</v>
      </c>
      <c r="F22" s="66" t="s">
        <v>409</v>
      </c>
      <c r="G22" s="188">
        <f t="shared" si="1"/>
        <v>19100.332</v>
      </c>
      <c r="H22" s="188">
        <f t="shared" si="2"/>
        <v>19100.332</v>
      </c>
      <c r="I22" s="188">
        <f t="shared" si="2"/>
        <v>0</v>
      </c>
    </row>
    <row r="23" spans="1:9" ht="45" customHeight="1">
      <c r="A23" s="35" t="s">
        <v>154</v>
      </c>
      <c r="B23" s="43">
        <v>951</v>
      </c>
      <c r="C23" s="66" t="s">
        <v>146</v>
      </c>
      <c r="D23" s="66" t="s">
        <v>157</v>
      </c>
      <c r="E23" s="66" t="s">
        <v>14</v>
      </c>
      <c r="F23" s="66" t="s">
        <v>409</v>
      </c>
      <c r="G23" s="188">
        <f t="shared" si="1"/>
        <v>19100.332</v>
      </c>
      <c r="H23" s="188">
        <f>H24+H26+H28</f>
        <v>19100.332</v>
      </c>
      <c r="I23" s="188">
        <f>I24+I26+I28</f>
        <v>0</v>
      </c>
    </row>
    <row r="24" spans="1:9" ht="90.75" customHeight="1">
      <c r="A24" s="35" t="s">
        <v>184</v>
      </c>
      <c r="B24" s="43">
        <v>951</v>
      </c>
      <c r="C24" s="66" t="s">
        <v>146</v>
      </c>
      <c r="D24" s="66" t="s">
        <v>157</v>
      </c>
      <c r="E24" s="66" t="s">
        <v>14</v>
      </c>
      <c r="F24" s="66" t="s">
        <v>151</v>
      </c>
      <c r="G24" s="188">
        <f>H24+I24</f>
        <v>12047</v>
      </c>
      <c r="H24" s="188">
        <f>H25</f>
        <v>12047</v>
      </c>
      <c r="I24" s="188">
        <f>I25</f>
        <v>0</v>
      </c>
    </row>
    <row r="25" spans="1:10" ht="30.75" customHeight="1">
      <c r="A25" s="35" t="s">
        <v>186</v>
      </c>
      <c r="B25" s="43">
        <v>951</v>
      </c>
      <c r="C25" s="66" t="s">
        <v>146</v>
      </c>
      <c r="D25" s="66" t="s">
        <v>157</v>
      </c>
      <c r="E25" s="66" t="s">
        <v>14</v>
      </c>
      <c r="F25" s="66" t="s">
        <v>185</v>
      </c>
      <c r="G25" s="188">
        <f t="shared" si="1"/>
        <v>12047</v>
      </c>
      <c r="H25" s="188">
        <f>9060.7+250+2736.3</f>
        <v>12047</v>
      </c>
      <c r="I25" s="188"/>
      <c r="J25" s="554"/>
    </row>
    <row r="26" spans="1:9" ht="30">
      <c r="A26" s="42" t="s">
        <v>187</v>
      </c>
      <c r="B26" s="43">
        <v>951</v>
      </c>
      <c r="C26" s="82" t="s">
        <v>146</v>
      </c>
      <c r="D26" s="82" t="s">
        <v>157</v>
      </c>
      <c r="E26" s="66" t="s">
        <v>14</v>
      </c>
      <c r="F26" s="82" t="s">
        <v>155</v>
      </c>
      <c r="G26" s="188">
        <f t="shared" si="1"/>
        <v>6545.82</v>
      </c>
      <c r="H26" s="188">
        <f>H27</f>
        <v>6545.82</v>
      </c>
      <c r="I26" s="188">
        <f>I27</f>
        <v>0</v>
      </c>
    </row>
    <row r="27" spans="1:9" ht="45">
      <c r="A27" s="42" t="s">
        <v>188</v>
      </c>
      <c r="B27" s="43">
        <v>951</v>
      </c>
      <c r="C27" s="82" t="s">
        <v>146</v>
      </c>
      <c r="D27" s="82" t="s">
        <v>157</v>
      </c>
      <c r="E27" s="66" t="s">
        <v>14</v>
      </c>
      <c r="F27" s="82" t="s">
        <v>189</v>
      </c>
      <c r="G27" s="188">
        <f t="shared" si="1"/>
        <v>6545.82</v>
      </c>
      <c r="H27" s="188">
        <f>6545.82</f>
        <v>6545.82</v>
      </c>
      <c r="I27" s="188"/>
    </row>
    <row r="28" spans="1:9" ht="15">
      <c r="A28" s="42" t="s">
        <v>192</v>
      </c>
      <c r="B28" s="43">
        <v>951</v>
      </c>
      <c r="C28" s="82" t="s">
        <v>146</v>
      </c>
      <c r="D28" s="82" t="s">
        <v>157</v>
      </c>
      <c r="E28" s="66" t="s">
        <v>14</v>
      </c>
      <c r="F28" s="82" t="s">
        <v>193</v>
      </c>
      <c r="G28" s="188">
        <f t="shared" si="1"/>
        <v>507.512</v>
      </c>
      <c r="H28" s="188">
        <f>H29</f>
        <v>507.512</v>
      </c>
      <c r="I28" s="188">
        <f>I29</f>
        <v>0</v>
      </c>
    </row>
    <row r="29" spans="1:9" ht="15">
      <c r="A29" s="227" t="s">
        <v>190</v>
      </c>
      <c r="B29" s="43">
        <v>951</v>
      </c>
      <c r="C29" s="82" t="s">
        <v>146</v>
      </c>
      <c r="D29" s="82" t="s">
        <v>157</v>
      </c>
      <c r="E29" s="66" t="s">
        <v>14</v>
      </c>
      <c r="F29" s="82" t="s">
        <v>191</v>
      </c>
      <c r="G29" s="188">
        <f t="shared" si="1"/>
        <v>507.512</v>
      </c>
      <c r="H29" s="188">
        <f>492-40.158+55.67</f>
        <v>507.512</v>
      </c>
      <c r="I29" s="188"/>
    </row>
    <row r="30" spans="1:9" ht="15" hidden="1">
      <c r="A30" s="35" t="s">
        <v>163</v>
      </c>
      <c r="B30" s="43">
        <v>951</v>
      </c>
      <c r="C30" s="66" t="s">
        <v>146</v>
      </c>
      <c r="D30" s="66" t="s">
        <v>164</v>
      </c>
      <c r="E30" s="66" t="s">
        <v>320</v>
      </c>
      <c r="F30" s="66" t="s">
        <v>409</v>
      </c>
      <c r="G30" s="188">
        <f t="shared" si="1"/>
        <v>0</v>
      </c>
      <c r="H30" s="188">
        <f aca="true" t="shared" si="3" ref="H30:I32">H31</f>
        <v>0</v>
      </c>
      <c r="I30" s="188">
        <f t="shared" si="3"/>
        <v>0</v>
      </c>
    </row>
    <row r="31" spans="1:9" ht="30" hidden="1">
      <c r="A31" s="42" t="s">
        <v>165</v>
      </c>
      <c r="B31" s="43">
        <v>951</v>
      </c>
      <c r="C31" s="82" t="s">
        <v>146</v>
      </c>
      <c r="D31" s="82" t="s">
        <v>164</v>
      </c>
      <c r="E31" s="82" t="s">
        <v>335</v>
      </c>
      <c r="F31" s="82" t="s">
        <v>409</v>
      </c>
      <c r="G31" s="188">
        <f t="shared" si="1"/>
        <v>0</v>
      </c>
      <c r="H31" s="188">
        <f t="shared" si="3"/>
        <v>0</v>
      </c>
      <c r="I31" s="188">
        <f t="shared" si="3"/>
        <v>0</v>
      </c>
    </row>
    <row r="32" spans="1:9" ht="15" hidden="1">
      <c r="A32" s="42" t="s">
        <v>192</v>
      </c>
      <c r="B32" s="43">
        <v>951</v>
      </c>
      <c r="C32" s="82" t="s">
        <v>146</v>
      </c>
      <c r="D32" s="82" t="s">
        <v>164</v>
      </c>
      <c r="E32" s="82" t="s">
        <v>335</v>
      </c>
      <c r="F32" s="82" t="s">
        <v>193</v>
      </c>
      <c r="G32" s="188">
        <f t="shared" si="1"/>
        <v>0</v>
      </c>
      <c r="H32" s="188">
        <f t="shared" si="3"/>
        <v>0</v>
      </c>
      <c r="I32" s="188">
        <f t="shared" si="3"/>
        <v>0</v>
      </c>
    </row>
    <row r="33" spans="1:9" ht="15" hidden="1">
      <c r="A33" s="42" t="s">
        <v>194</v>
      </c>
      <c r="B33" s="43">
        <v>951</v>
      </c>
      <c r="C33" s="82" t="s">
        <v>146</v>
      </c>
      <c r="D33" s="82" t="s">
        <v>164</v>
      </c>
      <c r="E33" s="82" t="s">
        <v>335</v>
      </c>
      <c r="F33" s="82" t="s">
        <v>195</v>
      </c>
      <c r="G33" s="188">
        <f t="shared" si="1"/>
        <v>0</v>
      </c>
      <c r="H33" s="188">
        <v>0</v>
      </c>
      <c r="I33" s="188"/>
    </row>
    <row r="34" spans="1:9" ht="42" customHeight="1">
      <c r="A34" s="67" t="s">
        <v>738</v>
      </c>
      <c r="B34" s="43" t="s">
        <v>176</v>
      </c>
      <c r="C34" s="66" t="s">
        <v>146</v>
      </c>
      <c r="D34" s="66" t="s">
        <v>389</v>
      </c>
      <c r="E34" s="66" t="s">
        <v>461</v>
      </c>
      <c r="F34" s="66" t="s">
        <v>409</v>
      </c>
      <c r="G34" s="188">
        <f>I34</f>
        <v>26.012800000000002</v>
      </c>
      <c r="H34" s="188"/>
      <c r="I34" s="188">
        <f>I35</f>
        <v>26.012800000000002</v>
      </c>
    </row>
    <row r="35" spans="1:9" ht="30">
      <c r="A35" s="42" t="s">
        <v>187</v>
      </c>
      <c r="B35" s="43" t="s">
        <v>176</v>
      </c>
      <c r="C35" s="82" t="s">
        <v>146</v>
      </c>
      <c r="D35" s="82" t="s">
        <v>389</v>
      </c>
      <c r="E35" s="66" t="s">
        <v>461</v>
      </c>
      <c r="F35" s="82" t="s">
        <v>155</v>
      </c>
      <c r="G35" s="188">
        <f>I35</f>
        <v>26.012800000000002</v>
      </c>
      <c r="H35" s="188"/>
      <c r="I35" s="188">
        <f>I36</f>
        <v>26.012800000000002</v>
      </c>
    </row>
    <row r="36" spans="1:9" ht="45">
      <c r="A36" s="35" t="s">
        <v>188</v>
      </c>
      <c r="B36" s="43" t="s">
        <v>176</v>
      </c>
      <c r="C36" s="66" t="s">
        <v>146</v>
      </c>
      <c r="D36" s="66" t="s">
        <v>389</v>
      </c>
      <c r="E36" s="66" t="s">
        <v>461</v>
      </c>
      <c r="F36" s="66" t="s">
        <v>189</v>
      </c>
      <c r="G36" s="188">
        <f>I36</f>
        <v>26.012800000000002</v>
      </c>
      <c r="H36" s="188"/>
      <c r="I36" s="188">
        <f>26.012+0.0008</f>
        <v>26.012800000000002</v>
      </c>
    </row>
    <row r="37" spans="1:9" ht="15">
      <c r="A37" s="173" t="s">
        <v>163</v>
      </c>
      <c r="B37" s="200" t="s">
        <v>176</v>
      </c>
      <c r="C37" s="174" t="s">
        <v>146</v>
      </c>
      <c r="D37" s="174" t="s">
        <v>164</v>
      </c>
      <c r="E37" s="174" t="s">
        <v>320</v>
      </c>
      <c r="F37" s="174" t="s">
        <v>409</v>
      </c>
      <c r="G37" s="201">
        <f aca="true" t="shared" si="4" ref="G37:G43">H37+I37</f>
        <v>615.2710000000001</v>
      </c>
      <c r="H37" s="201">
        <f>H38</f>
        <v>615.2710000000001</v>
      </c>
      <c r="I37" s="201"/>
    </row>
    <row r="38" spans="1:9" ht="30">
      <c r="A38" s="605" t="s">
        <v>149</v>
      </c>
      <c r="B38" s="43" t="s">
        <v>176</v>
      </c>
      <c r="C38" s="66" t="s">
        <v>146</v>
      </c>
      <c r="D38" s="66" t="s">
        <v>164</v>
      </c>
      <c r="E38" s="171" t="s">
        <v>10</v>
      </c>
      <c r="F38" s="171" t="s">
        <v>409</v>
      </c>
      <c r="G38" s="188">
        <f t="shared" si="4"/>
        <v>615.2710000000001</v>
      </c>
      <c r="H38" s="188">
        <f>H39</f>
        <v>615.2710000000001</v>
      </c>
      <c r="I38" s="188"/>
    </row>
    <row r="39" spans="1:9" ht="33" customHeight="1">
      <c r="A39" s="605" t="s">
        <v>150</v>
      </c>
      <c r="B39" s="43" t="s">
        <v>176</v>
      </c>
      <c r="C39" s="66" t="s">
        <v>146</v>
      </c>
      <c r="D39" s="66" t="s">
        <v>164</v>
      </c>
      <c r="E39" s="171" t="s">
        <v>11</v>
      </c>
      <c r="F39" s="171" t="s">
        <v>409</v>
      </c>
      <c r="G39" s="188">
        <f t="shared" si="4"/>
        <v>615.2710000000001</v>
      </c>
      <c r="H39" s="188">
        <f>H40</f>
        <v>615.2710000000001</v>
      </c>
      <c r="I39" s="188"/>
    </row>
    <row r="40" spans="1:9" ht="30">
      <c r="A40" s="605" t="s">
        <v>557</v>
      </c>
      <c r="B40" s="43" t="s">
        <v>176</v>
      </c>
      <c r="C40" s="66" t="s">
        <v>146</v>
      </c>
      <c r="D40" s="66" t="s">
        <v>164</v>
      </c>
      <c r="E40" s="66" t="s">
        <v>558</v>
      </c>
      <c r="F40" s="171" t="s">
        <v>409</v>
      </c>
      <c r="G40" s="188">
        <f t="shared" si="4"/>
        <v>615.2710000000001</v>
      </c>
      <c r="H40" s="188">
        <f>H41</f>
        <v>615.2710000000001</v>
      </c>
      <c r="I40" s="188"/>
    </row>
    <row r="41" spans="1:9" ht="15">
      <c r="A41" s="605" t="s">
        <v>192</v>
      </c>
      <c r="B41" s="43" t="s">
        <v>176</v>
      </c>
      <c r="C41" s="66" t="s">
        <v>146</v>
      </c>
      <c r="D41" s="66" t="s">
        <v>164</v>
      </c>
      <c r="E41" s="66" t="s">
        <v>558</v>
      </c>
      <c r="F41" s="171" t="s">
        <v>193</v>
      </c>
      <c r="G41" s="188">
        <f t="shared" si="4"/>
        <v>615.2710000000001</v>
      </c>
      <c r="H41" s="188">
        <f>H42</f>
        <v>615.2710000000001</v>
      </c>
      <c r="I41" s="188"/>
    </row>
    <row r="42" spans="1:9" ht="15">
      <c r="A42" s="605" t="s">
        <v>194</v>
      </c>
      <c r="B42" s="43" t="s">
        <v>176</v>
      </c>
      <c r="C42" s="66" t="s">
        <v>146</v>
      </c>
      <c r="D42" s="66" t="s">
        <v>164</v>
      </c>
      <c r="E42" s="66" t="s">
        <v>558</v>
      </c>
      <c r="F42" s="171" t="s">
        <v>195</v>
      </c>
      <c r="G42" s="188">
        <f t="shared" si="4"/>
        <v>615.2710000000001</v>
      </c>
      <c r="H42" s="188">
        <f>100-11.45-24.964+600-25.292-6.497-16.526</f>
        <v>615.2710000000001</v>
      </c>
      <c r="I42" s="188"/>
    </row>
    <row r="43" spans="1:9" ht="16.5" customHeight="1">
      <c r="A43" s="228" t="s">
        <v>357</v>
      </c>
      <c r="B43" s="457">
        <v>951</v>
      </c>
      <c r="C43" s="458" t="s">
        <v>146</v>
      </c>
      <c r="D43" s="458" t="s">
        <v>166</v>
      </c>
      <c r="E43" s="458" t="s">
        <v>320</v>
      </c>
      <c r="F43" s="458" t="s">
        <v>409</v>
      </c>
      <c r="G43" s="307">
        <f t="shared" si="4"/>
        <v>11674.008880000001</v>
      </c>
      <c r="H43" s="307">
        <f>H44+H76+H109+H127+H86+H70+H89+H130+H94+H146</f>
        <v>6060.43601</v>
      </c>
      <c r="I43" s="307">
        <f>I44</f>
        <v>5613.57287</v>
      </c>
    </row>
    <row r="44" spans="1:10" ht="16.5" customHeight="1">
      <c r="A44" s="35" t="s">
        <v>167</v>
      </c>
      <c r="B44" s="43">
        <v>951</v>
      </c>
      <c r="C44" s="66" t="s">
        <v>146</v>
      </c>
      <c r="D44" s="66" t="s">
        <v>166</v>
      </c>
      <c r="E44" s="66" t="s">
        <v>320</v>
      </c>
      <c r="F44" s="66" t="s">
        <v>409</v>
      </c>
      <c r="G44" s="188">
        <f t="shared" si="1"/>
        <v>5613.57287</v>
      </c>
      <c r="H44" s="188">
        <f>H45+H50+H55+H60</f>
        <v>0</v>
      </c>
      <c r="I44" s="188">
        <f>I45+I50+I55+I60+I65+I68+I99</f>
        <v>5613.57287</v>
      </c>
      <c r="J44" s="554"/>
    </row>
    <row r="45" spans="1:11" ht="58.5" customHeight="1">
      <c r="A45" s="229" t="s">
        <v>168</v>
      </c>
      <c r="B45" s="459">
        <v>951</v>
      </c>
      <c r="C45" s="230" t="s">
        <v>146</v>
      </c>
      <c r="D45" s="230" t="s">
        <v>166</v>
      </c>
      <c r="E45" s="230" t="s">
        <v>16</v>
      </c>
      <c r="F45" s="230" t="s">
        <v>409</v>
      </c>
      <c r="G45" s="243">
        <f t="shared" si="1"/>
        <v>794.861</v>
      </c>
      <c r="H45" s="243">
        <f>H46+H48</f>
        <v>0</v>
      </c>
      <c r="I45" s="566">
        <f>I46+I48</f>
        <v>794.861</v>
      </c>
      <c r="J45" s="555"/>
      <c r="K45" s="556"/>
    </row>
    <row r="46" spans="1:9" ht="84" customHeight="1">
      <c r="A46" s="42" t="s">
        <v>184</v>
      </c>
      <c r="B46" s="43">
        <v>951</v>
      </c>
      <c r="C46" s="82" t="s">
        <v>146</v>
      </c>
      <c r="D46" s="82" t="s">
        <v>166</v>
      </c>
      <c r="E46" s="66" t="s">
        <v>16</v>
      </c>
      <c r="F46" s="82" t="s">
        <v>151</v>
      </c>
      <c r="G46" s="188">
        <f t="shared" si="1"/>
        <v>542.93</v>
      </c>
      <c r="H46" s="188">
        <f>H47</f>
        <v>0</v>
      </c>
      <c r="I46" s="188">
        <f>I47</f>
        <v>542.93</v>
      </c>
    </row>
    <row r="47" spans="1:9" ht="29.25" customHeight="1">
      <c r="A47" s="84" t="s">
        <v>186</v>
      </c>
      <c r="B47" s="43">
        <v>951</v>
      </c>
      <c r="C47" s="66" t="s">
        <v>146</v>
      </c>
      <c r="D47" s="66" t="s">
        <v>166</v>
      </c>
      <c r="E47" s="66" t="s">
        <v>16</v>
      </c>
      <c r="F47" s="66" t="s">
        <v>185</v>
      </c>
      <c r="G47" s="188">
        <f t="shared" si="1"/>
        <v>542.93</v>
      </c>
      <c r="H47" s="188"/>
      <c r="I47" s="188">
        <v>542.93</v>
      </c>
    </row>
    <row r="48" spans="1:9" ht="31.5" customHeight="1">
      <c r="A48" s="35" t="s">
        <v>187</v>
      </c>
      <c r="B48" s="43">
        <v>951</v>
      </c>
      <c r="C48" s="66" t="s">
        <v>146</v>
      </c>
      <c r="D48" s="66" t="s">
        <v>166</v>
      </c>
      <c r="E48" s="66" t="s">
        <v>16</v>
      </c>
      <c r="F48" s="66" t="s">
        <v>155</v>
      </c>
      <c r="G48" s="188">
        <f t="shared" si="1"/>
        <v>251.931</v>
      </c>
      <c r="H48" s="188">
        <f>H49</f>
        <v>0</v>
      </c>
      <c r="I48" s="188">
        <f>I49</f>
        <v>251.931</v>
      </c>
    </row>
    <row r="49" spans="1:9" ht="42.75" customHeight="1">
      <c r="A49" s="84" t="s">
        <v>188</v>
      </c>
      <c r="B49" s="43">
        <v>951</v>
      </c>
      <c r="C49" s="66" t="s">
        <v>146</v>
      </c>
      <c r="D49" s="66" t="s">
        <v>166</v>
      </c>
      <c r="E49" s="66" t="s">
        <v>16</v>
      </c>
      <c r="F49" s="66" t="s">
        <v>189</v>
      </c>
      <c r="G49" s="188">
        <f t="shared" si="1"/>
        <v>251.931</v>
      </c>
      <c r="H49" s="188"/>
      <c r="I49" s="188">
        <v>251.931</v>
      </c>
    </row>
    <row r="50" spans="1:11" ht="47.25" customHeight="1">
      <c r="A50" s="229" t="s">
        <v>419</v>
      </c>
      <c r="B50" s="459">
        <v>951</v>
      </c>
      <c r="C50" s="230" t="s">
        <v>146</v>
      </c>
      <c r="D50" s="230" t="s">
        <v>166</v>
      </c>
      <c r="E50" s="567" t="s">
        <v>861</v>
      </c>
      <c r="F50" s="230" t="s">
        <v>409</v>
      </c>
      <c r="G50" s="243">
        <f t="shared" si="1"/>
        <v>1197.7910000000002</v>
      </c>
      <c r="H50" s="243">
        <f>H51+H53</f>
        <v>0</v>
      </c>
      <c r="I50" s="517">
        <f>I51+I53</f>
        <v>1197.7910000000002</v>
      </c>
      <c r="K50" s="554"/>
    </row>
    <row r="51" spans="1:9" ht="75" customHeight="1">
      <c r="A51" s="35" t="s">
        <v>184</v>
      </c>
      <c r="B51" s="43" t="s">
        <v>176</v>
      </c>
      <c r="C51" s="66" t="s">
        <v>146</v>
      </c>
      <c r="D51" s="66" t="s">
        <v>166</v>
      </c>
      <c r="E51" s="66" t="s">
        <v>861</v>
      </c>
      <c r="F51" s="66" t="s">
        <v>151</v>
      </c>
      <c r="G51" s="188">
        <f t="shared" si="1"/>
        <v>1139.911</v>
      </c>
      <c r="H51" s="188">
        <f>H52</f>
        <v>0</v>
      </c>
      <c r="I51" s="188">
        <f>I52</f>
        <v>1139.911</v>
      </c>
    </row>
    <row r="52" spans="1:9" ht="32.25" customHeight="1">
      <c r="A52" s="231" t="s">
        <v>186</v>
      </c>
      <c r="B52" s="43" t="s">
        <v>176</v>
      </c>
      <c r="C52" s="82" t="s">
        <v>146</v>
      </c>
      <c r="D52" s="82" t="s">
        <v>166</v>
      </c>
      <c r="E52" s="66" t="s">
        <v>861</v>
      </c>
      <c r="F52" s="82" t="s">
        <v>185</v>
      </c>
      <c r="G52" s="188">
        <f t="shared" si="1"/>
        <v>1139.911</v>
      </c>
      <c r="H52" s="188"/>
      <c r="I52" s="188">
        <v>1139.911</v>
      </c>
    </row>
    <row r="53" spans="1:9" ht="31.5" customHeight="1">
      <c r="A53" s="42" t="s">
        <v>187</v>
      </c>
      <c r="B53" s="43">
        <v>951</v>
      </c>
      <c r="C53" s="82" t="s">
        <v>146</v>
      </c>
      <c r="D53" s="82" t="s">
        <v>166</v>
      </c>
      <c r="E53" s="66" t="s">
        <v>861</v>
      </c>
      <c r="F53" s="82" t="s">
        <v>155</v>
      </c>
      <c r="G53" s="188">
        <f t="shared" si="1"/>
        <v>57.88</v>
      </c>
      <c r="H53" s="188">
        <f>H54</f>
        <v>0</v>
      </c>
      <c r="I53" s="188">
        <f>I54</f>
        <v>57.88</v>
      </c>
    </row>
    <row r="54" spans="1:9" ht="44.25" customHeight="1">
      <c r="A54" s="84" t="s">
        <v>188</v>
      </c>
      <c r="B54" s="43">
        <v>951</v>
      </c>
      <c r="C54" s="66" t="s">
        <v>146</v>
      </c>
      <c r="D54" s="66" t="s">
        <v>166</v>
      </c>
      <c r="E54" s="66" t="s">
        <v>861</v>
      </c>
      <c r="F54" s="66" t="s">
        <v>189</v>
      </c>
      <c r="G54" s="188">
        <f t="shared" si="1"/>
        <v>57.88</v>
      </c>
      <c r="H54" s="188"/>
      <c r="I54" s="188">
        <v>57.88</v>
      </c>
    </row>
    <row r="55" spans="1:11" ht="44.25" customHeight="1">
      <c r="A55" s="229" t="s">
        <v>169</v>
      </c>
      <c r="B55" s="459" t="s">
        <v>176</v>
      </c>
      <c r="C55" s="230" t="s">
        <v>146</v>
      </c>
      <c r="D55" s="230" t="s">
        <v>166</v>
      </c>
      <c r="E55" s="567" t="s">
        <v>861</v>
      </c>
      <c r="F55" s="230" t="s">
        <v>409</v>
      </c>
      <c r="G55" s="243">
        <f t="shared" si="1"/>
        <v>766.4250000000001</v>
      </c>
      <c r="H55" s="243">
        <f>H56+H58</f>
        <v>0</v>
      </c>
      <c r="I55" s="243">
        <f>I56+I58</f>
        <v>766.4250000000001</v>
      </c>
      <c r="J55" s="555"/>
      <c r="K55" s="554"/>
    </row>
    <row r="56" spans="1:9" ht="81" customHeight="1">
      <c r="A56" s="42" t="s">
        <v>184</v>
      </c>
      <c r="B56" s="43" t="s">
        <v>176</v>
      </c>
      <c r="C56" s="82" t="s">
        <v>146</v>
      </c>
      <c r="D56" s="82" t="s">
        <v>166</v>
      </c>
      <c r="E56" s="66" t="s">
        <v>861</v>
      </c>
      <c r="F56" s="82" t="s">
        <v>151</v>
      </c>
      <c r="G56" s="188">
        <f t="shared" si="1"/>
        <v>719.07</v>
      </c>
      <c r="H56" s="188">
        <f>H57</f>
        <v>0</v>
      </c>
      <c r="I56" s="188">
        <f>I57</f>
        <v>719.07</v>
      </c>
    </row>
    <row r="57" spans="1:9" ht="30" customHeight="1">
      <c r="A57" s="84" t="s">
        <v>186</v>
      </c>
      <c r="B57" s="43">
        <v>951</v>
      </c>
      <c r="C57" s="66" t="s">
        <v>146</v>
      </c>
      <c r="D57" s="66" t="s">
        <v>166</v>
      </c>
      <c r="E57" s="66" t="s">
        <v>861</v>
      </c>
      <c r="F57" s="66" t="s">
        <v>185</v>
      </c>
      <c r="G57" s="188">
        <f t="shared" si="1"/>
        <v>719.07</v>
      </c>
      <c r="H57" s="188"/>
      <c r="I57" s="188">
        <v>719.07</v>
      </c>
    </row>
    <row r="58" spans="1:9" ht="30.75" customHeight="1">
      <c r="A58" s="42" t="s">
        <v>187</v>
      </c>
      <c r="B58" s="43">
        <v>951</v>
      </c>
      <c r="C58" s="82" t="s">
        <v>146</v>
      </c>
      <c r="D58" s="82" t="s">
        <v>166</v>
      </c>
      <c r="E58" s="66" t="s">
        <v>861</v>
      </c>
      <c r="F58" s="82" t="s">
        <v>155</v>
      </c>
      <c r="G58" s="188">
        <f t="shared" si="1"/>
        <v>47.355</v>
      </c>
      <c r="H58" s="188">
        <f>H59</f>
        <v>0</v>
      </c>
      <c r="I58" s="188">
        <f>I59</f>
        <v>47.355</v>
      </c>
    </row>
    <row r="59" spans="1:9" ht="45">
      <c r="A59" s="84" t="s">
        <v>188</v>
      </c>
      <c r="B59" s="43">
        <v>951</v>
      </c>
      <c r="C59" s="66" t="s">
        <v>146</v>
      </c>
      <c r="D59" s="66" t="s">
        <v>166</v>
      </c>
      <c r="E59" s="66" t="s">
        <v>861</v>
      </c>
      <c r="F59" s="66" t="s">
        <v>189</v>
      </c>
      <c r="G59" s="188">
        <f t="shared" si="1"/>
        <v>47.355</v>
      </c>
      <c r="H59" s="188"/>
      <c r="I59" s="188">
        <v>47.355</v>
      </c>
    </row>
    <row r="60" spans="1:11" ht="87.75" customHeight="1">
      <c r="A60" s="229" t="s">
        <v>17</v>
      </c>
      <c r="B60" s="459">
        <v>951</v>
      </c>
      <c r="C60" s="230" t="s">
        <v>146</v>
      </c>
      <c r="D60" s="230" t="s">
        <v>166</v>
      </c>
      <c r="E60" s="230" t="s">
        <v>321</v>
      </c>
      <c r="F60" s="230" t="s">
        <v>409</v>
      </c>
      <c r="G60" s="243">
        <f t="shared" si="1"/>
        <v>1395.192</v>
      </c>
      <c r="H60" s="243">
        <f>H61+H63</f>
        <v>0</v>
      </c>
      <c r="I60" s="517">
        <f>I61+I63</f>
        <v>1395.192</v>
      </c>
      <c r="J60" s="372"/>
      <c r="K60" s="556"/>
    </row>
    <row r="61" spans="1:9" ht="75" customHeight="1">
      <c r="A61" s="42" t="s">
        <v>184</v>
      </c>
      <c r="B61" s="43">
        <v>951</v>
      </c>
      <c r="C61" s="82" t="s">
        <v>146</v>
      </c>
      <c r="D61" s="82" t="s">
        <v>166</v>
      </c>
      <c r="E61" s="66" t="s">
        <v>321</v>
      </c>
      <c r="F61" s="82" t="s">
        <v>151</v>
      </c>
      <c r="G61" s="188">
        <f t="shared" si="1"/>
        <v>1242.908</v>
      </c>
      <c r="H61" s="188">
        <f>H62</f>
        <v>0</v>
      </c>
      <c r="I61" s="188">
        <f>I62</f>
        <v>1242.908</v>
      </c>
    </row>
    <row r="62" spans="1:9" ht="30">
      <c r="A62" s="84" t="s">
        <v>186</v>
      </c>
      <c r="B62" s="43">
        <v>951</v>
      </c>
      <c r="C62" s="66" t="s">
        <v>146</v>
      </c>
      <c r="D62" s="66" t="s">
        <v>166</v>
      </c>
      <c r="E62" s="66" t="s">
        <v>321</v>
      </c>
      <c r="F62" s="66" t="s">
        <v>185</v>
      </c>
      <c r="G62" s="188">
        <f t="shared" si="1"/>
        <v>1242.908</v>
      </c>
      <c r="H62" s="188"/>
      <c r="I62" s="188">
        <f>1242.908</f>
        <v>1242.908</v>
      </c>
    </row>
    <row r="63" spans="1:9" ht="30">
      <c r="A63" s="35" t="s">
        <v>187</v>
      </c>
      <c r="B63" s="43">
        <v>951</v>
      </c>
      <c r="C63" s="66" t="s">
        <v>146</v>
      </c>
      <c r="D63" s="66" t="s">
        <v>166</v>
      </c>
      <c r="E63" s="66" t="s">
        <v>321</v>
      </c>
      <c r="F63" s="66" t="s">
        <v>155</v>
      </c>
      <c r="G63" s="188">
        <f t="shared" si="1"/>
        <v>152.284</v>
      </c>
      <c r="H63" s="188">
        <f>H64</f>
        <v>0</v>
      </c>
      <c r="I63" s="188">
        <f>I64</f>
        <v>152.284</v>
      </c>
    </row>
    <row r="64" spans="1:9" ht="45">
      <c r="A64" s="84" t="s">
        <v>188</v>
      </c>
      <c r="B64" s="43">
        <v>951</v>
      </c>
      <c r="C64" s="66" t="s">
        <v>146</v>
      </c>
      <c r="D64" s="66" t="s">
        <v>166</v>
      </c>
      <c r="E64" s="66" t="s">
        <v>321</v>
      </c>
      <c r="F64" s="66" t="s">
        <v>189</v>
      </c>
      <c r="G64" s="188">
        <f t="shared" si="1"/>
        <v>152.284</v>
      </c>
      <c r="H64" s="188"/>
      <c r="I64" s="188">
        <f>118.254+34.03</f>
        <v>152.284</v>
      </c>
    </row>
    <row r="65" spans="1:9" ht="57.75" customHeight="1">
      <c r="A65" s="610" t="s">
        <v>924</v>
      </c>
      <c r="B65" s="609">
        <v>951</v>
      </c>
      <c r="C65" s="611" t="s">
        <v>146</v>
      </c>
      <c r="D65" s="611" t="s">
        <v>166</v>
      </c>
      <c r="E65" s="611" t="s">
        <v>925</v>
      </c>
      <c r="F65" s="611" t="s">
        <v>409</v>
      </c>
      <c r="G65" s="612">
        <f>H65+I65</f>
        <v>272.232</v>
      </c>
      <c r="H65" s="612"/>
      <c r="I65" s="612">
        <f>I66</f>
        <v>272.232</v>
      </c>
    </row>
    <row r="66" spans="1:9" ht="30">
      <c r="A66" s="341" t="s">
        <v>187</v>
      </c>
      <c r="B66" s="189">
        <v>951</v>
      </c>
      <c r="C66" s="124" t="s">
        <v>146</v>
      </c>
      <c r="D66" s="124" t="s">
        <v>166</v>
      </c>
      <c r="E66" s="124" t="s">
        <v>925</v>
      </c>
      <c r="F66" s="124" t="s">
        <v>155</v>
      </c>
      <c r="G66" s="334">
        <f>H66+I66</f>
        <v>272.232</v>
      </c>
      <c r="H66" s="334"/>
      <c r="I66" s="334">
        <f>I67</f>
        <v>272.232</v>
      </c>
    </row>
    <row r="67" spans="1:9" ht="45">
      <c r="A67" s="386" t="s">
        <v>188</v>
      </c>
      <c r="B67" s="189">
        <v>951</v>
      </c>
      <c r="C67" s="124" t="s">
        <v>146</v>
      </c>
      <c r="D67" s="124" t="s">
        <v>166</v>
      </c>
      <c r="E67" s="124" t="s">
        <v>925</v>
      </c>
      <c r="F67" s="124" t="s">
        <v>189</v>
      </c>
      <c r="G67" s="334">
        <f>H67+I67</f>
        <v>272.232</v>
      </c>
      <c r="H67" s="334"/>
      <c r="I67" s="334">
        <v>272.232</v>
      </c>
    </row>
    <row r="68" spans="1:9" s="572" customFormat="1" ht="30">
      <c r="A68" s="568" t="s">
        <v>860</v>
      </c>
      <c r="B68" s="569">
        <v>951</v>
      </c>
      <c r="C68" s="570" t="s">
        <v>146</v>
      </c>
      <c r="D68" s="570" t="s">
        <v>166</v>
      </c>
      <c r="E68" s="570" t="s">
        <v>862</v>
      </c>
      <c r="F68" s="570" t="s">
        <v>409</v>
      </c>
      <c r="G68" s="201">
        <f>H68+I68</f>
        <v>307.152</v>
      </c>
      <c r="H68" s="596">
        <f>H69</f>
        <v>0</v>
      </c>
      <c r="I68" s="201">
        <f>I69</f>
        <v>307.152</v>
      </c>
    </row>
    <row r="69" spans="1:9" ht="45">
      <c r="A69" s="236" t="s">
        <v>188</v>
      </c>
      <c r="B69" s="461">
        <v>951</v>
      </c>
      <c r="C69" s="82" t="s">
        <v>146</v>
      </c>
      <c r="D69" s="82" t="s">
        <v>166</v>
      </c>
      <c r="E69" s="82" t="s">
        <v>862</v>
      </c>
      <c r="F69" s="82" t="s">
        <v>189</v>
      </c>
      <c r="G69" s="188">
        <f t="shared" si="1"/>
        <v>307.152</v>
      </c>
      <c r="H69" s="275">
        <v>0</v>
      </c>
      <c r="I69" s="188">
        <v>307.152</v>
      </c>
    </row>
    <row r="70" spans="1:9" ht="75" hidden="1">
      <c r="A70" s="172" t="s">
        <v>433</v>
      </c>
      <c r="B70" s="43">
        <v>951</v>
      </c>
      <c r="C70" s="66" t="s">
        <v>146</v>
      </c>
      <c r="D70" s="66" t="s">
        <v>166</v>
      </c>
      <c r="E70" s="115" t="s">
        <v>28</v>
      </c>
      <c r="F70" s="115" t="s">
        <v>409</v>
      </c>
      <c r="G70" s="218">
        <f aca="true" t="shared" si="5" ref="G70:G76">H70+I70</f>
        <v>0</v>
      </c>
      <c r="H70" s="305">
        <f>H71+H72</f>
        <v>0</v>
      </c>
      <c r="I70" s="305">
        <f>I71+I72</f>
        <v>0</v>
      </c>
    </row>
    <row r="71" spans="1:9" ht="75" hidden="1">
      <c r="A71" s="232" t="s">
        <v>130</v>
      </c>
      <c r="B71" s="43">
        <v>951</v>
      </c>
      <c r="C71" s="66" t="s">
        <v>146</v>
      </c>
      <c r="D71" s="66" t="s">
        <v>166</v>
      </c>
      <c r="E71" s="66" t="s">
        <v>464</v>
      </c>
      <c r="F71" s="66" t="s">
        <v>124</v>
      </c>
      <c r="G71" s="188">
        <f t="shared" si="5"/>
        <v>0</v>
      </c>
      <c r="H71" s="188"/>
      <c r="I71" s="188"/>
    </row>
    <row r="72" spans="1:9" ht="75" hidden="1">
      <c r="A72" s="233" t="s">
        <v>125</v>
      </c>
      <c r="B72" s="43">
        <v>951</v>
      </c>
      <c r="C72" s="66" t="s">
        <v>146</v>
      </c>
      <c r="D72" s="66" t="s">
        <v>166</v>
      </c>
      <c r="E72" s="66" t="s">
        <v>97</v>
      </c>
      <c r="F72" s="66" t="s">
        <v>124</v>
      </c>
      <c r="G72" s="188">
        <f t="shared" si="5"/>
        <v>0</v>
      </c>
      <c r="H72" s="188"/>
      <c r="I72" s="188"/>
    </row>
    <row r="73" spans="1:9" s="254" customFormat="1" ht="75" hidden="1">
      <c r="A73" s="371" t="s">
        <v>789</v>
      </c>
      <c r="B73" s="43">
        <v>951</v>
      </c>
      <c r="C73" s="177" t="s">
        <v>146</v>
      </c>
      <c r="D73" s="177" t="s">
        <v>166</v>
      </c>
      <c r="E73" s="177" t="s">
        <v>790</v>
      </c>
      <c r="F73" s="177" t="s">
        <v>409</v>
      </c>
      <c r="G73" s="218">
        <f t="shared" si="5"/>
        <v>0</v>
      </c>
      <c r="H73" s="218"/>
      <c r="I73" s="218">
        <f>I74</f>
        <v>0</v>
      </c>
    </row>
    <row r="74" spans="1:9" s="48" customFormat="1" ht="90" hidden="1">
      <c r="A74" s="35" t="s">
        <v>184</v>
      </c>
      <c r="B74" s="43">
        <v>951</v>
      </c>
      <c r="C74" s="66" t="s">
        <v>146</v>
      </c>
      <c r="D74" s="66" t="s">
        <v>166</v>
      </c>
      <c r="E74" s="66" t="s">
        <v>790</v>
      </c>
      <c r="F74" s="66" t="s">
        <v>151</v>
      </c>
      <c r="G74" s="188">
        <f t="shared" si="5"/>
        <v>0</v>
      </c>
      <c r="H74" s="188"/>
      <c r="I74" s="188">
        <f>I75</f>
        <v>0</v>
      </c>
    </row>
    <row r="75" spans="1:9" s="48" customFormat="1" ht="30" hidden="1">
      <c r="A75" s="84" t="s">
        <v>186</v>
      </c>
      <c r="B75" s="43">
        <v>951</v>
      </c>
      <c r="C75" s="66" t="s">
        <v>146</v>
      </c>
      <c r="D75" s="66" t="s">
        <v>166</v>
      </c>
      <c r="E75" s="66" t="s">
        <v>790</v>
      </c>
      <c r="F75" s="66" t="s">
        <v>185</v>
      </c>
      <c r="G75" s="188">
        <f t="shared" si="5"/>
        <v>0</v>
      </c>
      <c r="H75" s="188">
        <v>0</v>
      </c>
      <c r="I75" s="188">
        <v>0</v>
      </c>
    </row>
    <row r="76" spans="1:11" ht="45">
      <c r="A76" s="176" t="s">
        <v>149</v>
      </c>
      <c r="B76" s="43">
        <v>951</v>
      </c>
      <c r="C76" s="66" t="s">
        <v>146</v>
      </c>
      <c r="D76" s="66" t="s">
        <v>166</v>
      </c>
      <c r="E76" s="66" t="s">
        <v>10</v>
      </c>
      <c r="F76" s="66" t="s">
        <v>409</v>
      </c>
      <c r="G76" s="188">
        <f t="shared" si="5"/>
        <v>4167.349</v>
      </c>
      <c r="H76" s="188">
        <f>H77</f>
        <v>4167.349</v>
      </c>
      <c r="I76" s="188">
        <f>I77</f>
        <v>0</v>
      </c>
      <c r="K76" s="554"/>
    </row>
    <row r="77" spans="1:9" ht="42" customHeight="1">
      <c r="A77" s="35" t="s">
        <v>150</v>
      </c>
      <c r="B77" s="43">
        <v>951</v>
      </c>
      <c r="C77" s="66" t="s">
        <v>146</v>
      </c>
      <c r="D77" s="66" t="s">
        <v>166</v>
      </c>
      <c r="E77" s="66" t="s">
        <v>11</v>
      </c>
      <c r="F77" s="66" t="s">
        <v>409</v>
      </c>
      <c r="G77" s="188">
        <f t="shared" si="1"/>
        <v>4167.349</v>
      </c>
      <c r="H77" s="188">
        <f>H78+H83+H106</f>
        <v>4167.349</v>
      </c>
      <c r="I77" s="188">
        <f>I78</f>
        <v>0</v>
      </c>
    </row>
    <row r="78" spans="1:11" ht="45" customHeight="1">
      <c r="A78" s="35" t="s">
        <v>559</v>
      </c>
      <c r="B78" s="43">
        <v>951</v>
      </c>
      <c r="C78" s="66" t="s">
        <v>146</v>
      </c>
      <c r="D78" s="66" t="s">
        <v>166</v>
      </c>
      <c r="E78" s="66" t="s">
        <v>14</v>
      </c>
      <c r="F78" s="66" t="s">
        <v>409</v>
      </c>
      <c r="G78" s="188">
        <f t="shared" si="1"/>
        <v>4080.6200000000003</v>
      </c>
      <c r="H78" s="188">
        <f>H79+H81</f>
        <v>4080.6200000000003</v>
      </c>
      <c r="I78" s="188">
        <f>I79+I81</f>
        <v>0</v>
      </c>
      <c r="K78" s="554"/>
    </row>
    <row r="79" spans="1:9" ht="81.75" customHeight="1">
      <c r="A79" s="42" t="s">
        <v>184</v>
      </c>
      <c r="B79" s="43">
        <v>951</v>
      </c>
      <c r="C79" s="82" t="s">
        <v>146</v>
      </c>
      <c r="D79" s="82" t="s">
        <v>166</v>
      </c>
      <c r="E79" s="66" t="s">
        <v>14</v>
      </c>
      <c r="F79" s="82" t="s">
        <v>151</v>
      </c>
      <c r="G79" s="188">
        <f t="shared" si="1"/>
        <v>3994.7200000000003</v>
      </c>
      <c r="H79" s="188">
        <f>H80</f>
        <v>3994.7200000000003</v>
      </c>
      <c r="I79" s="188">
        <f>I80</f>
        <v>0</v>
      </c>
    </row>
    <row r="80" spans="1:9" ht="30">
      <c r="A80" s="84" t="s">
        <v>186</v>
      </c>
      <c r="B80" s="43">
        <v>951</v>
      </c>
      <c r="C80" s="66" t="s">
        <v>146</v>
      </c>
      <c r="D80" s="66" t="s">
        <v>166</v>
      </c>
      <c r="E80" s="66" t="s">
        <v>14</v>
      </c>
      <c r="F80" s="66" t="s">
        <v>185</v>
      </c>
      <c r="G80" s="188">
        <f t="shared" si="1"/>
        <v>3994.7200000000003</v>
      </c>
      <c r="H80" s="188">
        <f>3025.9+55+913.82</f>
        <v>3994.7200000000003</v>
      </c>
      <c r="I80" s="188"/>
    </row>
    <row r="81" spans="1:9" ht="30">
      <c r="A81" s="35" t="s">
        <v>187</v>
      </c>
      <c r="B81" s="43">
        <v>951</v>
      </c>
      <c r="C81" s="66" t="s">
        <v>146</v>
      </c>
      <c r="D81" s="66" t="s">
        <v>166</v>
      </c>
      <c r="E81" s="66" t="s">
        <v>14</v>
      </c>
      <c r="F81" s="66" t="s">
        <v>155</v>
      </c>
      <c r="G81" s="188">
        <f t="shared" si="1"/>
        <v>85.90000000000009</v>
      </c>
      <c r="H81" s="188">
        <f>H82</f>
        <v>85.90000000000009</v>
      </c>
      <c r="I81" s="188">
        <f>I82</f>
        <v>0</v>
      </c>
    </row>
    <row r="82" spans="1:9" ht="42.75" customHeight="1">
      <c r="A82" s="84" t="s">
        <v>188</v>
      </c>
      <c r="B82" s="43">
        <v>951</v>
      </c>
      <c r="C82" s="66" t="s">
        <v>146</v>
      </c>
      <c r="D82" s="66" t="s">
        <v>166</v>
      </c>
      <c r="E82" s="66" t="s">
        <v>14</v>
      </c>
      <c r="F82" s="66" t="s">
        <v>189</v>
      </c>
      <c r="G82" s="188">
        <f t="shared" si="1"/>
        <v>85.90000000000009</v>
      </c>
      <c r="H82" s="188">
        <f>4080.62-3994.72</f>
        <v>85.90000000000009</v>
      </c>
      <c r="I82" s="188"/>
    </row>
    <row r="83" spans="1:9" ht="15">
      <c r="A83" s="110" t="s">
        <v>196</v>
      </c>
      <c r="B83" s="175">
        <v>951</v>
      </c>
      <c r="C83" s="115" t="s">
        <v>146</v>
      </c>
      <c r="D83" s="115" t="s">
        <v>166</v>
      </c>
      <c r="E83" s="115" t="s">
        <v>18</v>
      </c>
      <c r="F83" s="115" t="s">
        <v>409</v>
      </c>
      <c r="G83" s="218">
        <f t="shared" si="1"/>
        <v>2</v>
      </c>
      <c r="H83" s="218">
        <f>H84</f>
        <v>2</v>
      </c>
      <c r="I83" s="218"/>
    </row>
    <row r="84" spans="1:9" ht="15">
      <c r="A84" s="35" t="s">
        <v>192</v>
      </c>
      <c r="B84" s="43">
        <v>951</v>
      </c>
      <c r="C84" s="66" t="s">
        <v>146</v>
      </c>
      <c r="D84" s="66" t="s">
        <v>166</v>
      </c>
      <c r="E84" s="66" t="s">
        <v>18</v>
      </c>
      <c r="F84" s="66" t="s">
        <v>193</v>
      </c>
      <c r="G84" s="188">
        <f t="shared" si="1"/>
        <v>2</v>
      </c>
      <c r="H84" s="188">
        <f>H85</f>
        <v>2</v>
      </c>
      <c r="I84" s="188"/>
    </row>
    <row r="85" spans="1:9" ht="15">
      <c r="A85" s="35" t="s">
        <v>196</v>
      </c>
      <c r="B85" s="43">
        <v>951</v>
      </c>
      <c r="C85" s="66" t="s">
        <v>146</v>
      </c>
      <c r="D85" s="66" t="s">
        <v>166</v>
      </c>
      <c r="E85" s="66" t="s">
        <v>18</v>
      </c>
      <c r="F85" s="66" t="s">
        <v>197</v>
      </c>
      <c r="G85" s="188">
        <f t="shared" si="1"/>
        <v>2</v>
      </c>
      <c r="H85" s="188">
        <v>2</v>
      </c>
      <c r="I85" s="188"/>
    </row>
    <row r="86" spans="1:9" ht="60">
      <c r="A86" s="110" t="s">
        <v>369</v>
      </c>
      <c r="B86" s="175">
        <v>951</v>
      </c>
      <c r="C86" s="115" t="s">
        <v>146</v>
      </c>
      <c r="D86" s="115" t="s">
        <v>166</v>
      </c>
      <c r="E86" s="115" t="s">
        <v>19</v>
      </c>
      <c r="F86" s="115" t="s">
        <v>409</v>
      </c>
      <c r="G86" s="218">
        <f t="shared" si="1"/>
        <v>750</v>
      </c>
      <c r="H86" s="218">
        <f>H87</f>
        <v>750</v>
      </c>
      <c r="I86" s="218">
        <f>I87</f>
        <v>0</v>
      </c>
    </row>
    <row r="87" spans="1:9" ht="30">
      <c r="A87" s="35" t="s">
        <v>187</v>
      </c>
      <c r="B87" s="43">
        <v>951</v>
      </c>
      <c r="C87" s="66" t="s">
        <v>146</v>
      </c>
      <c r="D87" s="66" t="s">
        <v>166</v>
      </c>
      <c r="E87" s="66" t="s">
        <v>19</v>
      </c>
      <c r="F87" s="66" t="s">
        <v>155</v>
      </c>
      <c r="G87" s="188">
        <f t="shared" si="1"/>
        <v>750</v>
      </c>
      <c r="H87" s="188">
        <f>H88</f>
        <v>750</v>
      </c>
      <c r="I87" s="188">
        <f>I88</f>
        <v>0</v>
      </c>
    </row>
    <row r="88" spans="1:9" ht="45">
      <c r="A88" s="84" t="s">
        <v>188</v>
      </c>
      <c r="B88" s="43">
        <v>951</v>
      </c>
      <c r="C88" s="66" t="s">
        <v>146</v>
      </c>
      <c r="D88" s="66" t="s">
        <v>166</v>
      </c>
      <c r="E88" s="66" t="s">
        <v>19</v>
      </c>
      <c r="F88" s="66" t="s">
        <v>189</v>
      </c>
      <c r="G88" s="188">
        <f t="shared" si="1"/>
        <v>750</v>
      </c>
      <c r="H88" s="188">
        <f>430+320</f>
        <v>750</v>
      </c>
      <c r="I88" s="188"/>
    </row>
    <row r="89" spans="1:9" ht="15">
      <c r="A89" s="234" t="s">
        <v>515</v>
      </c>
      <c r="B89" s="206" t="s">
        <v>176</v>
      </c>
      <c r="C89" s="185" t="s">
        <v>146</v>
      </c>
      <c r="D89" s="185" t="s">
        <v>166</v>
      </c>
      <c r="E89" s="185" t="s">
        <v>516</v>
      </c>
      <c r="F89" s="185" t="s">
        <v>409</v>
      </c>
      <c r="G89" s="207">
        <f aca="true" t="shared" si="6" ref="G89:G98">H89</f>
        <v>1035.0870100000002</v>
      </c>
      <c r="H89" s="207">
        <f>H90+H92</f>
        <v>1035.0870100000002</v>
      </c>
      <c r="I89" s="207"/>
    </row>
    <row r="90" spans="1:9" ht="30">
      <c r="A90" s="235" t="s">
        <v>187</v>
      </c>
      <c r="B90" s="461" t="s">
        <v>176</v>
      </c>
      <c r="C90" s="82" t="s">
        <v>146</v>
      </c>
      <c r="D90" s="82" t="s">
        <v>166</v>
      </c>
      <c r="E90" s="82" t="s">
        <v>516</v>
      </c>
      <c r="F90" s="82" t="s">
        <v>155</v>
      </c>
      <c r="G90" s="272">
        <f t="shared" si="6"/>
        <v>1035.0870100000002</v>
      </c>
      <c r="H90" s="272">
        <f>H91</f>
        <v>1035.0870100000002</v>
      </c>
      <c r="I90" s="272"/>
    </row>
    <row r="91" spans="1:9" ht="45">
      <c r="A91" s="236" t="s">
        <v>188</v>
      </c>
      <c r="B91" s="461" t="s">
        <v>176</v>
      </c>
      <c r="C91" s="82" t="s">
        <v>146</v>
      </c>
      <c r="D91" s="82" t="s">
        <v>166</v>
      </c>
      <c r="E91" s="82" t="s">
        <v>516</v>
      </c>
      <c r="F91" s="82" t="s">
        <v>189</v>
      </c>
      <c r="G91" s="272">
        <f t="shared" si="6"/>
        <v>1035.0870100000002</v>
      </c>
      <c r="H91" s="188">
        <f>1402.9-504.6-2+138.78701</f>
        <v>1035.0870100000002</v>
      </c>
      <c r="I91" s="272"/>
    </row>
    <row r="92" spans="1:9" ht="15" hidden="1">
      <c r="A92" s="235" t="s">
        <v>192</v>
      </c>
      <c r="B92" s="461" t="s">
        <v>176</v>
      </c>
      <c r="C92" s="82" t="s">
        <v>146</v>
      </c>
      <c r="D92" s="82" t="s">
        <v>166</v>
      </c>
      <c r="E92" s="82" t="s">
        <v>516</v>
      </c>
      <c r="F92" s="82" t="s">
        <v>193</v>
      </c>
      <c r="G92" s="272">
        <f t="shared" si="6"/>
        <v>0</v>
      </c>
      <c r="H92" s="188">
        <f>H93</f>
        <v>0</v>
      </c>
      <c r="I92" s="272"/>
    </row>
    <row r="93" spans="1:9" ht="15" hidden="1">
      <c r="A93" s="237" t="s">
        <v>190</v>
      </c>
      <c r="B93" s="461" t="s">
        <v>176</v>
      </c>
      <c r="C93" s="82" t="s">
        <v>146</v>
      </c>
      <c r="D93" s="82" t="s">
        <v>166</v>
      </c>
      <c r="E93" s="82" t="s">
        <v>516</v>
      </c>
      <c r="F93" s="82" t="s">
        <v>191</v>
      </c>
      <c r="G93" s="272">
        <f t="shared" si="6"/>
        <v>0</v>
      </c>
      <c r="H93" s="188"/>
      <c r="I93" s="272"/>
    </row>
    <row r="94" spans="1:9" ht="15" hidden="1">
      <c r="A94" s="238" t="s">
        <v>545</v>
      </c>
      <c r="B94" s="175" t="s">
        <v>176</v>
      </c>
      <c r="C94" s="115" t="s">
        <v>146</v>
      </c>
      <c r="D94" s="115" t="s">
        <v>166</v>
      </c>
      <c r="E94" s="115" t="s">
        <v>546</v>
      </c>
      <c r="F94" s="115" t="s">
        <v>409</v>
      </c>
      <c r="G94" s="218">
        <f t="shared" si="6"/>
        <v>0</v>
      </c>
      <c r="H94" s="218">
        <f>H95+H97</f>
        <v>0</v>
      </c>
      <c r="I94" s="218"/>
    </row>
    <row r="95" spans="1:9" ht="30" hidden="1">
      <c r="A95" s="35" t="s">
        <v>187</v>
      </c>
      <c r="B95" s="43" t="s">
        <v>176</v>
      </c>
      <c r="C95" s="66" t="s">
        <v>146</v>
      </c>
      <c r="D95" s="66" t="s">
        <v>166</v>
      </c>
      <c r="E95" s="66" t="s">
        <v>546</v>
      </c>
      <c r="F95" s="66" t="s">
        <v>155</v>
      </c>
      <c r="G95" s="188">
        <f t="shared" si="6"/>
        <v>0</v>
      </c>
      <c r="H95" s="188">
        <f>H96</f>
        <v>0</v>
      </c>
      <c r="I95" s="218"/>
    </row>
    <row r="96" spans="1:9" ht="45" hidden="1">
      <c r="A96" s="84" t="s">
        <v>188</v>
      </c>
      <c r="B96" s="43" t="s">
        <v>176</v>
      </c>
      <c r="C96" s="66" t="s">
        <v>146</v>
      </c>
      <c r="D96" s="66" t="s">
        <v>166</v>
      </c>
      <c r="E96" s="66" t="s">
        <v>546</v>
      </c>
      <c r="F96" s="66" t="s">
        <v>189</v>
      </c>
      <c r="G96" s="188">
        <f t="shared" si="6"/>
        <v>0</v>
      </c>
      <c r="H96" s="188"/>
      <c r="I96" s="188"/>
    </row>
    <row r="97" spans="1:9" ht="15" hidden="1">
      <c r="A97" s="35" t="s">
        <v>192</v>
      </c>
      <c r="B97" s="43" t="s">
        <v>176</v>
      </c>
      <c r="C97" s="66" t="s">
        <v>146</v>
      </c>
      <c r="D97" s="66" t="s">
        <v>166</v>
      </c>
      <c r="E97" s="66" t="s">
        <v>546</v>
      </c>
      <c r="F97" s="66" t="s">
        <v>193</v>
      </c>
      <c r="G97" s="188">
        <f t="shared" si="6"/>
        <v>0</v>
      </c>
      <c r="H97" s="188">
        <f>H98</f>
        <v>0</v>
      </c>
      <c r="I97" s="188"/>
    </row>
    <row r="98" spans="1:9" ht="15" hidden="1">
      <c r="A98" s="67" t="s">
        <v>190</v>
      </c>
      <c r="B98" s="43" t="s">
        <v>176</v>
      </c>
      <c r="C98" s="66" t="s">
        <v>146</v>
      </c>
      <c r="D98" s="66" t="s">
        <v>166</v>
      </c>
      <c r="E98" s="66" t="s">
        <v>546</v>
      </c>
      <c r="F98" s="66" t="s">
        <v>191</v>
      </c>
      <c r="G98" s="188">
        <f t="shared" si="6"/>
        <v>0</v>
      </c>
      <c r="H98" s="188"/>
      <c r="I98" s="188"/>
    </row>
    <row r="99" spans="1:9" ht="60.75" customHeight="1">
      <c r="A99" s="360" t="s">
        <v>560</v>
      </c>
      <c r="B99" s="361" t="s">
        <v>176</v>
      </c>
      <c r="C99" s="362" t="s">
        <v>146</v>
      </c>
      <c r="D99" s="362" t="s">
        <v>166</v>
      </c>
      <c r="E99" s="362" t="s">
        <v>320</v>
      </c>
      <c r="F99" s="362" t="s">
        <v>409</v>
      </c>
      <c r="G99" s="363">
        <f>H99+I99</f>
        <v>879.9198700000001</v>
      </c>
      <c r="H99" s="363">
        <v>0</v>
      </c>
      <c r="I99" s="363">
        <f>I100</f>
        <v>879.9198700000001</v>
      </c>
    </row>
    <row r="100" spans="1:9" ht="30">
      <c r="A100" s="35" t="s">
        <v>505</v>
      </c>
      <c r="B100" s="43" t="s">
        <v>176</v>
      </c>
      <c r="C100" s="66" t="s">
        <v>146</v>
      </c>
      <c r="D100" s="66" t="s">
        <v>166</v>
      </c>
      <c r="E100" s="66" t="s">
        <v>10</v>
      </c>
      <c r="F100" s="66" t="s">
        <v>409</v>
      </c>
      <c r="G100" s="188">
        <f aca="true" t="shared" si="7" ref="G100:G108">H100+I100</f>
        <v>879.9198700000001</v>
      </c>
      <c r="H100" s="188"/>
      <c r="I100" s="188">
        <f>I101</f>
        <v>879.9198700000001</v>
      </c>
    </row>
    <row r="101" spans="1:11" ht="45">
      <c r="A101" s="35" t="s">
        <v>150</v>
      </c>
      <c r="B101" s="43" t="s">
        <v>176</v>
      </c>
      <c r="C101" s="66" t="s">
        <v>146</v>
      </c>
      <c r="D101" s="66" t="s">
        <v>166</v>
      </c>
      <c r="E101" s="66" t="s">
        <v>11</v>
      </c>
      <c r="F101" s="66" t="s">
        <v>409</v>
      </c>
      <c r="G101" s="188">
        <f t="shared" si="7"/>
        <v>879.9198700000001</v>
      </c>
      <c r="H101" s="188"/>
      <c r="I101" s="188">
        <f>I102+I104</f>
        <v>879.9198700000001</v>
      </c>
      <c r="J101" s="557"/>
      <c r="K101" s="556"/>
    </row>
    <row r="102" spans="1:9" ht="90">
      <c r="A102" s="35" t="s">
        <v>184</v>
      </c>
      <c r="B102" s="43" t="s">
        <v>176</v>
      </c>
      <c r="C102" s="66" t="s">
        <v>146</v>
      </c>
      <c r="D102" s="66" t="s">
        <v>166</v>
      </c>
      <c r="E102" s="66" t="s">
        <v>561</v>
      </c>
      <c r="F102" s="66" t="s">
        <v>151</v>
      </c>
      <c r="G102" s="188">
        <f t="shared" si="7"/>
        <v>843.033</v>
      </c>
      <c r="H102" s="188">
        <v>0</v>
      </c>
      <c r="I102" s="188">
        <f>I103</f>
        <v>843.033</v>
      </c>
    </row>
    <row r="103" spans="1:9" ht="30">
      <c r="A103" s="35" t="s">
        <v>186</v>
      </c>
      <c r="B103" s="43" t="s">
        <v>176</v>
      </c>
      <c r="C103" s="66" t="s">
        <v>146</v>
      </c>
      <c r="D103" s="66" t="s">
        <v>166</v>
      </c>
      <c r="E103" s="66" t="s">
        <v>561</v>
      </c>
      <c r="F103" s="66" t="s">
        <v>185</v>
      </c>
      <c r="G103" s="188">
        <f t="shared" si="7"/>
        <v>843.033</v>
      </c>
      <c r="H103" s="188"/>
      <c r="I103" s="272">
        <v>843.033</v>
      </c>
    </row>
    <row r="104" spans="1:9" ht="30">
      <c r="A104" s="35" t="s">
        <v>187</v>
      </c>
      <c r="B104" s="43" t="s">
        <v>176</v>
      </c>
      <c r="C104" s="66" t="s">
        <v>146</v>
      </c>
      <c r="D104" s="66" t="s">
        <v>166</v>
      </c>
      <c r="E104" s="66" t="s">
        <v>561</v>
      </c>
      <c r="F104" s="66" t="s">
        <v>155</v>
      </c>
      <c r="G104" s="188">
        <f t="shared" si="7"/>
        <v>36.88687</v>
      </c>
      <c r="H104" s="188">
        <v>0</v>
      </c>
      <c r="I104" s="272">
        <f>I105</f>
        <v>36.88687</v>
      </c>
    </row>
    <row r="105" spans="1:9" ht="45">
      <c r="A105" s="84" t="s">
        <v>188</v>
      </c>
      <c r="B105" s="43" t="s">
        <v>176</v>
      </c>
      <c r="C105" s="66" t="s">
        <v>146</v>
      </c>
      <c r="D105" s="66" t="s">
        <v>166</v>
      </c>
      <c r="E105" s="66" t="s">
        <v>561</v>
      </c>
      <c r="F105" s="66" t="s">
        <v>189</v>
      </c>
      <c r="G105" s="188">
        <f t="shared" si="7"/>
        <v>36.88687</v>
      </c>
      <c r="H105" s="188"/>
      <c r="I105" s="272">
        <v>36.88687</v>
      </c>
    </row>
    <row r="106" spans="1:9" ht="45">
      <c r="A106" s="111" t="s">
        <v>755</v>
      </c>
      <c r="B106" s="175" t="s">
        <v>176</v>
      </c>
      <c r="C106" s="115" t="s">
        <v>146</v>
      </c>
      <c r="D106" s="115" t="s">
        <v>166</v>
      </c>
      <c r="E106" s="115" t="s">
        <v>756</v>
      </c>
      <c r="F106" s="115" t="s">
        <v>409</v>
      </c>
      <c r="G106" s="218">
        <f t="shared" si="7"/>
        <v>84.729</v>
      </c>
      <c r="H106" s="218">
        <f>H107</f>
        <v>84.729</v>
      </c>
      <c r="I106" s="188"/>
    </row>
    <row r="107" spans="1:9" ht="30">
      <c r="A107" s="35" t="s">
        <v>187</v>
      </c>
      <c r="B107" s="43" t="s">
        <v>176</v>
      </c>
      <c r="C107" s="66" t="s">
        <v>146</v>
      </c>
      <c r="D107" s="66" t="s">
        <v>166</v>
      </c>
      <c r="E107" s="66" t="s">
        <v>756</v>
      </c>
      <c r="F107" s="66" t="s">
        <v>155</v>
      </c>
      <c r="G107" s="188">
        <f t="shared" si="7"/>
        <v>84.729</v>
      </c>
      <c r="H107" s="188">
        <f>H108</f>
        <v>84.729</v>
      </c>
      <c r="I107" s="188"/>
    </row>
    <row r="108" spans="1:9" ht="45">
      <c r="A108" s="84" t="s">
        <v>188</v>
      </c>
      <c r="B108" s="43" t="s">
        <v>176</v>
      </c>
      <c r="C108" s="66" t="s">
        <v>146</v>
      </c>
      <c r="D108" s="66" t="s">
        <v>166</v>
      </c>
      <c r="E108" s="66" t="s">
        <v>756</v>
      </c>
      <c r="F108" s="66" t="s">
        <v>189</v>
      </c>
      <c r="G108" s="188">
        <f t="shared" si="7"/>
        <v>84.729</v>
      </c>
      <c r="H108" s="188">
        <f>11.45+24.964+25.292+6.497+16.526</f>
        <v>84.729</v>
      </c>
      <c r="I108" s="188"/>
    </row>
    <row r="109" spans="1:9" ht="45">
      <c r="A109" s="377" t="s">
        <v>473</v>
      </c>
      <c r="B109" s="462">
        <v>951</v>
      </c>
      <c r="C109" s="365" t="s">
        <v>146</v>
      </c>
      <c r="D109" s="365" t="s">
        <v>166</v>
      </c>
      <c r="E109" s="365" t="s">
        <v>29</v>
      </c>
      <c r="F109" s="365" t="s">
        <v>409</v>
      </c>
      <c r="G109" s="364">
        <f t="shared" si="1"/>
        <v>83</v>
      </c>
      <c r="H109" s="364">
        <f>H113+H121+H110+H124</f>
        <v>83</v>
      </c>
      <c r="I109" s="364">
        <f>I113</f>
        <v>0</v>
      </c>
    </row>
    <row r="110" spans="1:9" ht="30" hidden="1">
      <c r="A110" s="183" t="s">
        <v>31</v>
      </c>
      <c r="B110" s="175">
        <v>951</v>
      </c>
      <c r="C110" s="115" t="s">
        <v>146</v>
      </c>
      <c r="D110" s="115" t="s">
        <v>166</v>
      </c>
      <c r="E110" s="43" t="s">
        <v>30</v>
      </c>
      <c r="F110" s="66" t="s">
        <v>409</v>
      </c>
      <c r="G110" s="188">
        <f t="shared" si="1"/>
        <v>0</v>
      </c>
      <c r="H110" s="188">
        <f>H111</f>
        <v>0</v>
      </c>
      <c r="I110" s="188">
        <f>I111</f>
        <v>0</v>
      </c>
    </row>
    <row r="111" spans="1:9" ht="30" hidden="1">
      <c r="A111" s="35" t="s">
        <v>187</v>
      </c>
      <c r="B111" s="175">
        <v>951</v>
      </c>
      <c r="C111" s="115" t="s">
        <v>146</v>
      </c>
      <c r="D111" s="115" t="s">
        <v>166</v>
      </c>
      <c r="E111" s="43" t="s">
        <v>30</v>
      </c>
      <c r="F111" s="66" t="s">
        <v>155</v>
      </c>
      <c r="G111" s="188">
        <f t="shared" si="1"/>
        <v>0</v>
      </c>
      <c r="H111" s="188">
        <f>H112</f>
        <v>0</v>
      </c>
      <c r="I111" s="188">
        <f>I112</f>
        <v>0</v>
      </c>
    </row>
    <row r="112" spans="1:9" ht="45" hidden="1">
      <c r="A112" s="84" t="s">
        <v>188</v>
      </c>
      <c r="B112" s="175">
        <v>951</v>
      </c>
      <c r="C112" s="115" t="s">
        <v>146</v>
      </c>
      <c r="D112" s="115" t="s">
        <v>166</v>
      </c>
      <c r="E112" s="43" t="s">
        <v>30</v>
      </c>
      <c r="F112" s="66" t="s">
        <v>189</v>
      </c>
      <c r="G112" s="188">
        <f t="shared" si="1"/>
        <v>0</v>
      </c>
      <c r="H112" s="188"/>
      <c r="I112" s="188"/>
    </row>
    <row r="113" spans="1:9" ht="45">
      <c r="A113" s="340" t="s">
        <v>295</v>
      </c>
      <c r="B113" s="175">
        <v>951</v>
      </c>
      <c r="C113" s="115" t="s">
        <v>146</v>
      </c>
      <c r="D113" s="115" t="s">
        <v>166</v>
      </c>
      <c r="E113" s="43" t="s">
        <v>47</v>
      </c>
      <c r="F113" s="66" t="s">
        <v>409</v>
      </c>
      <c r="G113" s="188">
        <f>G114</f>
        <v>0</v>
      </c>
      <c r="H113" s="188">
        <f>H114</f>
        <v>0</v>
      </c>
      <c r="I113" s="188">
        <f>I114</f>
        <v>0</v>
      </c>
    </row>
    <row r="114" spans="1:9" ht="60" hidden="1">
      <c r="A114" s="357" t="s">
        <v>681</v>
      </c>
      <c r="B114" s="463">
        <v>951</v>
      </c>
      <c r="C114" s="358" t="s">
        <v>146</v>
      </c>
      <c r="D114" s="358" t="s">
        <v>166</v>
      </c>
      <c r="E114" s="358" t="s">
        <v>320</v>
      </c>
      <c r="F114" s="358" t="s">
        <v>409</v>
      </c>
      <c r="G114" s="359">
        <f>H114+I114</f>
        <v>0</v>
      </c>
      <c r="H114" s="359">
        <f>H118</f>
        <v>0</v>
      </c>
      <c r="I114" s="359">
        <f>I115</f>
        <v>0</v>
      </c>
    </row>
    <row r="115" spans="1:9" ht="89.25" hidden="1">
      <c r="A115" s="35" t="s">
        <v>702</v>
      </c>
      <c r="B115" s="43">
        <v>951</v>
      </c>
      <c r="C115" s="66" t="s">
        <v>146</v>
      </c>
      <c r="D115" s="66" t="s">
        <v>166</v>
      </c>
      <c r="E115" s="66" t="s">
        <v>687</v>
      </c>
      <c r="F115" s="66" t="s">
        <v>409</v>
      </c>
      <c r="G115" s="188">
        <f aca="true" t="shared" si="8" ref="G115:G120">H115+I115</f>
        <v>0</v>
      </c>
      <c r="H115" s="188"/>
      <c r="I115" s="188">
        <f>I116</f>
        <v>0</v>
      </c>
    </row>
    <row r="116" spans="1:9" ht="45" hidden="1">
      <c r="A116" s="84" t="s">
        <v>599</v>
      </c>
      <c r="B116" s="43">
        <v>951</v>
      </c>
      <c r="C116" s="66" t="s">
        <v>146</v>
      </c>
      <c r="D116" s="66" t="s">
        <v>166</v>
      </c>
      <c r="E116" s="66" t="s">
        <v>687</v>
      </c>
      <c r="F116" s="66" t="s">
        <v>600</v>
      </c>
      <c r="G116" s="188">
        <f t="shared" si="8"/>
        <v>0</v>
      </c>
      <c r="H116" s="188"/>
      <c r="I116" s="188">
        <f>I117</f>
        <v>0</v>
      </c>
    </row>
    <row r="117" spans="1:9" ht="15" hidden="1">
      <c r="A117" s="84" t="s">
        <v>601</v>
      </c>
      <c r="B117" s="43">
        <v>951</v>
      </c>
      <c r="C117" s="66" t="s">
        <v>146</v>
      </c>
      <c r="D117" s="66" t="s">
        <v>166</v>
      </c>
      <c r="E117" s="66" t="s">
        <v>687</v>
      </c>
      <c r="F117" s="66" t="s">
        <v>602</v>
      </c>
      <c r="G117" s="188">
        <f t="shared" si="8"/>
        <v>0</v>
      </c>
      <c r="H117" s="188"/>
      <c r="I117" s="188">
        <v>0</v>
      </c>
    </row>
    <row r="118" spans="1:9" ht="105" hidden="1">
      <c r="A118" s="35" t="s">
        <v>703</v>
      </c>
      <c r="B118" s="43">
        <v>951</v>
      </c>
      <c r="C118" s="66" t="s">
        <v>146</v>
      </c>
      <c r="D118" s="66" t="s">
        <v>166</v>
      </c>
      <c r="E118" s="66" t="s">
        <v>741</v>
      </c>
      <c r="F118" s="66" t="s">
        <v>409</v>
      </c>
      <c r="G118" s="188">
        <f t="shared" si="8"/>
        <v>0</v>
      </c>
      <c r="H118" s="188">
        <f>H119</f>
        <v>0</v>
      </c>
      <c r="I118" s="188"/>
    </row>
    <row r="119" spans="1:9" ht="45" hidden="1">
      <c r="A119" s="84" t="s">
        <v>599</v>
      </c>
      <c r="B119" s="43">
        <v>951</v>
      </c>
      <c r="C119" s="66" t="s">
        <v>146</v>
      </c>
      <c r="D119" s="66" t="s">
        <v>166</v>
      </c>
      <c r="E119" s="66" t="s">
        <v>741</v>
      </c>
      <c r="F119" s="66" t="s">
        <v>600</v>
      </c>
      <c r="G119" s="188">
        <f t="shared" si="8"/>
        <v>0</v>
      </c>
      <c r="H119" s="188">
        <f>H120</f>
        <v>0</v>
      </c>
      <c r="I119" s="188"/>
    </row>
    <row r="120" spans="1:9" ht="15" hidden="1">
      <c r="A120" s="84" t="s">
        <v>601</v>
      </c>
      <c r="B120" s="43">
        <v>951</v>
      </c>
      <c r="C120" s="66" t="s">
        <v>146</v>
      </c>
      <c r="D120" s="66" t="s">
        <v>166</v>
      </c>
      <c r="E120" s="66" t="s">
        <v>741</v>
      </c>
      <c r="F120" s="66" t="s">
        <v>602</v>
      </c>
      <c r="G120" s="188">
        <f t="shared" si="8"/>
        <v>0</v>
      </c>
      <c r="H120" s="334">
        <f>325-255-70</f>
        <v>0</v>
      </c>
      <c r="I120" s="188"/>
    </row>
    <row r="121" spans="1:9" ht="71.25" customHeight="1" hidden="1">
      <c r="A121" s="110" t="s">
        <v>697</v>
      </c>
      <c r="B121" s="175">
        <v>951</v>
      </c>
      <c r="C121" s="115" t="s">
        <v>146</v>
      </c>
      <c r="D121" s="115" t="s">
        <v>166</v>
      </c>
      <c r="E121" s="115" t="s">
        <v>688</v>
      </c>
      <c r="F121" s="115" t="s">
        <v>409</v>
      </c>
      <c r="G121" s="218">
        <f>H121+I121</f>
        <v>0</v>
      </c>
      <c r="H121" s="218">
        <f>H122</f>
        <v>0</v>
      </c>
      <c r="I121" s="218"/>
    </row>
    <row r="122" spans="1:9" ht="30" hidden="1">
      <c r="A122" s="35" t="s">
        <v>187</v>
      </c>
      <c r="B122" s="43">
        <v>951</v>
      </c>
      <c r="C122" s="66" t="s">
        <v>146</v>
      </c>
      <c r="D122" s="66" t="s">
        <v>166</v>
      </c>
      <c r="E122" s="66" t="s">
        <v>688</v>
      </c>
      <c r="F122" s="66" t="s">
        <v>155</v>
      </c>
      <c r="G122" s="188">
        <f>H122+I122</f>
        <v>0</v>
      </c>
      <c r="H122" s="188">
        <f>H123</f>
        <v>0</v>
      </c>
      <c r="I122" s="188"/>
    </row>
    <row r="123" spans="1:9" ht="45" hidden="1">
      <c r="A123" s="84" t="s">
        <v>188</v>
      </c>
      <c r="B123" s="43">
        <v>951</v>
      </c>
      <c r="C123" s="66" t="s">
        <v>146</v>
      </c>
      <c r="D123" s="66" t="s">
        <v>166</v>
      </c>
      <c r="E123" s="66" t="s">
        <v>688</v>
      </c>
      <c r="F123" s="66" t="s">
        <v>189</v>
      </c>
      <c r="G123" s="188">
        <f>H123+I123</f>
        <v>0</v>
      </c>
      <c r="H123" s="188">
        <v>0</v>
      </c>
      <c r="I123" s="188"/>
    </row>
    <row r="124" spans="1:9" ht="33" customHeight="1">
      <c r="A124" s="183" t="s">
        <v>34</v>
      </c>
      <c r="B124" s="43">
        <v>951</v>
      </c>
      <c r="C124" s="66" t="s">
        <v>146</v>
      </c>
      <c r="D124" s="66" t="s">
        <v>166</v>
      </c>
      <c r="E124" s="66" t="s">
        <v>35</v>
      </c>
      <c r="F124" s="66" t="s">
        <v>409</v>
      </c>
      <c r="G124" s="188">
        <f t="shared" si="1"/>
        <v>83</v>
      </c>
      <c r="H124" s="188">
        <f>H125</f>
        <v>83</v>
      </c>
      <c r="I124" s="188">
        <f>I125</f>
        <v>0</v>
      </c>
    </row>
    <row r="125" spans="1:9" ht="29.25" customHeight="1">
      <c r="A125" s="35" t="s">
        <v>187</v>
      </c>
      <c r="B125" s="43">
        <v>951</v>
      </c>
      <c r="C125" s="66" t="s">
        <v>146</v>
      </c>
      <c r="D125" s="66" t="s">
        <v>166</v>
      </c>
      <c r="E125" s="66" t="s">
        <v>690</v>
      </c>
      <c r="F125" s="66" t="s">
        <v>155</v>
      </c>
      <c r="G125" s="188">
        <f t="shared" si="1"/>
        <v>83</v>
      </c>
      <c r="H125" s="188">
        <f>H126</f>
        <v>83</v>
      </c>
      <c r="I125" s="188">
        <f>I126</f>
        <v>0</v>
      </c>
    </row>
    <row r="126" spans="1:9" ht="43.5" customHeight="1">
      <c r="A126" s="84" t="s">
        <v>188</v>
      </c>
      <c r="B126" s="43">
        <v>951</v>
      </c>
      <c r="C126" s="66" t="s">
        <v>146</v>
      </c>
      <c r="D126" s="66" t="s">
        <v>166</v>
      </c>
      <c r="E126" s="66" t="s">
        <v>690</v>
      </c>
      <c r="F126" s="66" t="s">
        <v>189</v>
      </c>
      <c r="G126" s="188">
        <f t="shared" si="1"/>
        <v>83</v>
      </c>
      <c r="H126" s="188">
        <v>83</v>
      </c>
      <c r="I126" s="188"/>
    </row>
    <row r="127" spans="1:9" ht="75">
      <c r="A127" s="110" t="s">
        <v>488</v>
      </c>
      <c r="B127" s="175">
        <v>951</v>
      </c>
      <c r="C127" s="115" t="s">
        <v>146</v>
      </c>
      <c r="D127" s="115" t="s">
        <v>166</v>
      </c>
      <c r="E127" s="115" t="s">
        <v>36</v>
      </c>
      <c r="F127" s="115" t="s">
        <v>409</v>
      </c>
      <c r="G127" s="218">
        <f t="shared" si="1"/>
        <v>10</v>
      </c>
      <c r="H127" s="218">
        <f>H128</f>
        <v>10</v>
      </c>
      <c r="I127" s="218">
        <f>I128</f>
        <v>0</v>
      </c>
    </row>
    <row r="128" spans="1:9" ht="33.75" customHeight="1">
      <c r="A128" s="35" t="s">
        <v>187</v>
      </c>
      <c r="B128" s="43">
        <v>951</v>
      </c>
      <c r="C128" s="66" t="s">
        <v>146</v>
      </c>
      <c r="D128" s="66" t="s">
        <v>166</v>
      </c>
      <c r="E128" s="82" t="s">
        <v>38</v>
      </c>
      <c r="F128" s="66" t="s">
        <v>155</v>
      </c>
      <c r="G128" s="188">
        <f t="shared" si="1"/>
        <v>10</v>
      </c>
      <c r="H128" s="188">
        <f>H129</f>
        <v>10</v>
      </c>
      <c r="I128" s="188">
        <f>I129</f>
        <v>0</v>
      </c>
    </row>
    <row r="129" spans="1:9" ht="45">
      <c r="A129" s="84" t="s">
        <v>188</v>
      </c>
      <c r="B129" s="43">
        <v>951</v>
      </c>
      <c r="C129" s="66" t="s">
        <v>146</v>
      </c>
      <c r="D129" s="66" t="s">
        <v>166</v>
      </c>
      <c r="E129" s="82" t="s">
        <v>38</v>
      </c>
      <c r="F129" s="66" t="s">
        <v>189</v>
      </c>
      <c r="G129" s="188">
        <f t="shared" si="1"/>
        <v>10</v>
      </c>
      <c r="H129" s="188">
        <v>10</v>
      </c>
      <c r="I129" s="188"/>
    </row>
    <row r="130" spans="1:9" ht="75">
      <c r="A130" s="111" t="s">
        <v>847</v>
      </c>
      <c r="B130" s="175" t="s">
        <v>176</v>
      </c>
      <c r="C130" s="115" t="s">
        <v>146</v>
      </c>
      <c r="D130" s="115" t="s">
        <v>166</v>
      </c>
      <c r="E130" s="115" t="s">
        <v>562</v>
      </c>
      <c r="F130" s="115" t="s">
        <v>409</v>
      </c>
      <c r="G130" s="218">
        <f t="shared" si="1"/>
        <v>15</v>
      </c>
      <c r="H130" s="218">
        <f>H131</f>
        <v>15</v>
      </c>
      <c r="I130" s="218"/>
    </row>
    <row r="131" spans="1:9" ht="48" customHeight="1">
      <c r="A131" s="236" t="s">
        <v>563</v>
      </c>
      <c r="B131" s="51" t="s">
        <v>176</v>
      </c>
      <c r="C131" s="66" t="s">
        <v>146</v>
      </c>
      <c r="D131" s="66" t="s">
        <v>166</v>
      </c>
      <c r="E131" s="82" t="s">
        <v>564</v>
      </c>
      <c r="F131" s="66" t="s">
        <v>155</v>
      </c>
      <c r="G131" s="188">
        <f t="shared" si="1"/>
        <v>15</v>
      </c>
      <c r="H131" s="272">
        <f>H132</f>
        <v>15</v>
      </c>
      <c r="I131" s="272"/>
    </row>
    <row r="132" spans="1:9" ht="16.5" customHeight="1">
      <c r="A132" s="236" t="s">
        <v>617</v>
      </c>
      <c r="B132" s="51" t="s">
        <v>176</v>
      </c>
      <c r="C132" s="66" t="s">
        <v>146</v>
      </c>
      <c r="D132" s="66" t="s">
        <v>166</v>
      </c>
      <c r="E132" s="82" t="s">
        <v>566</v>
      </c>
      <c r="F132" s="66" t="s">
        <v>189</v>
      </c>
      <c r="G132" s="188">
        <f t="shared" si="1"/>
        <v>15</v>
      </c>
      <c r="H132" s="188">
        <v>15</v>
      </c>
      <c r="I132" s="272"/>
    </row>
    <row r="133" spans="1:9" ht="15" hidden="1">
      <c r="A133" s="239" t="s">
        <v>372</v>
      </c>
      <c r="B133" s="373" t="s">
        <v>176</v>
      </c>
      <c r="C133" s="464" t="s">
        <v>146</v>
      </c>
      <c r="D133" s="464" t="s">
        <v>166</v>
      </c>
      <c r="E133" s="465" t="s">
        <v>320</v>
      </c>
      <c r="F133" s="465" t="s">
        <v>409</v>
      </c>
      <c r="G133" s="306">
        <f>H133+I133</f>
        <v>0</v>
      </c>
      <c r="H133" s="306">
        <f aca="true" t="shared" si="9" ref="H133:I136">H134</f>
        <v>0</v>
      </c>
      <c r="I133" s="306">
        <f t="shared" si="9"/>
        <v>0</v>
      </c>
    </row>
    <row r="134" spans="1:9" ht="75" hidden="1">
      <c r="A134" s="133" t="s">
        <v>548</v>
      </c>
      <c r="B134" s="51" t="s">
        <v>176</v>
      </c>
      <c r="C134" s="66" t="s">
        <v>146</v>
      </c>
      <c r="D134" s="66" t="s">
        <v>166</v>
      </c>
      <c r="E134" s="82" t="s">
        <v>320</v>
      </c>
      <c r="F134" s="82" t="s">
        <v>409</v>
      </c>
      <c r="G134" s="272">
        <f>H134+I134</f>
        <v>0</v>
      </c>
      <c r="H134" s="272">
        <f t="shared" si="9"/>
        <v>0</v>
      </c>
      <c r="I134" s="272">
        <f t="shared" si="9"/>
        <v>0</v>
      </c>
    </row>
    <row r="135" spans="1:9" ht="45" hidden="1">
      <c r="A135" s="42" t="s">
        <v>373</v>
      </c>
      <c r="B135" s="51" t="s">
        <v>176</v>
      </c>
      <c r="C135" s="66" t="s">
        <v>146</v>
      </c>
      <c r="D135" s="66" t="s">
        <v>166</v>
      </c>
      <c r="E135" s="66" t="s">
        <v>526</v>
      </c>
      <c r="F135" s="66" t="s">
        <v>409</v>
      </c>
      <c r="G135" s="188">
        <f t="shared" si="1"/>
        <v>0</v>
      </c>
      <c r="H135" s="188">
        <f t="shared" si="9"/>
        <v>0</v>
      </c>
      <c r="I135" s="188">
        <f t="shared" si="9"/>
        <v>0</v>
      </c>
    </row>
    <row r="136" spans="1:9" ht="15" hidden="1">
      <c r="A136" s="42" t="s">
        <v>198</v>
      </c>
      <c r="B136" s="51" t="s">
        <v>176</v>
      </c>
      <c r="C136" s="66" t="s">
        <v>146</v>
      </c>
      <c r="D136" s="66" t="s">
        <v>166</v>
      </c>
      <c r="E136" s="66" t="s">
        <v>526</v>
      </c>
      <c r="F136" s="82" t="s">
        <v>199</v>
      </c>
      <c r="G136" s="188">
        <f>H136+I136</f>
        <v>0</v>
      </c>
      <c r="H136" s="188">
        <f t="shared" si="9"/>
        <v>0</v>
      </c>
      <c r="I136" s="188">
        <f t="shared" si="9"/>
        <v>0</v>
      </c>
    </row>
    <row r="137" spans="1:9" ht="15" hidden="1">
      <c r="A137" s="35" t="s">
        <v>167</v>
      </c>
      <c r="B137" s="51" t="s">
        <v>176</v>
      </c>
      <c r="C137" s="66" t="s">
        <v>146</v>
      </c>
      <c r="D137" s="66" t="s">
        <v>166</v>
      </c>
      <c r="E137" s="66" t="s">
        <v>526</v>
      </c>
      <c r="F137" s="66" t="s">
        <v>374</v>
      </c>
      <c r="G137" s="188">
        <f>H137+I137</f>
        <v>0</v>
      </c>
      <c r="H137" s="188"/>
      <c r="I137" s="188">
        <v>0</v>
      </c>
    </row>
    <row r="138" spans="1:9" ht="42.75">
      <c r="A138" s="239" t="s">
        <v>375</v>
      </c>
      <c r="B138" s="523" t="s">
        <v>176</v>
      </c>
      <c r="C138" s="524" t="s">
        <v>153</v>
      </c>
      <c r="D138" s="524" t="s">
        <v>147</v>
      </c>
      <c r="E138" s="465" t="s">
        <v>320</v>
      </c>
      <c r="F138" s="465" t="s">
        <v>409</v>
      </c>
      <c r="G138" s="306">
        <f>H138+I138</f>
        <v>100</v>
      </c>
      <c r="H138" s="306">
        <f aca="true" t="shared" si="10" ref="H138:I141">H139</f>
        <v>100</v>
      </c>
      <c r="I138" s="306">
        <f t="shared" si="10"/>
        <v>0</v>
      </c>
    </row>
    <row r="139" spans="1:9" ht="43.5" customHeight="1">
      <c r="A139" s="42" t="s">
        <v>376</v>
      </c>
      <c r="B139" s="51" t="s">
        <v>176</v>
      </c>
      <c r="C139" s="66" t="s">
        <v>153</v>
      </c>
      <c r="D139" s="66" t="s">
        <v>377</v>
      </c>
      <c r="E139" s="66" t="s">
        <v>20</v>
      </c>
      <c r="F139" s="82" t="s">
        <v>409</v>
      </c>
      <c r="G139" s="188">
        <f aca="true" t="shared" si="11" ref="G139:G338">H139+I139</f>
        <v>100</v>
      </c>
      <c r="H139" s="188">
        <f>H140</f>
        <v>100</v>
      </c>
      <c r="I139" s="188">
        <f t="shared" si="10"/>
        <v>0</v>
      </c>
    </row>
    <row r="140" spans="1:9" ht="43.5" customHeight="1">
      <c r="A140" s="42" t="s">
        <v>378</v>
      </c>
      <c r="B140" s="51" t="s">
        <v>176</v>
      </c>
      <c r="C140" s="66" t="s">
        <v>153</v>
      </c>
      <c r="D140" s="66" t="s">
        <v>377</v>
      </c>
      <c r="E140" s="66" t="s">
        <v>20</v>
      </c>
      <c r="F140" s="82" t="s">
        <v>409</v>
      </c>
      <c r="G140" s="188">
        <f t="shared" si="11"/>
        <v>100</v>
      </c>
      <c r="H140" s="188">
        <f>H141</f>
        <v>100</v>
      </c>
      <c r="I140" s="188">
        <f t="shared" si="10"/>
        <v>0</v>
      </c>
    </row>
    <row r="141" spans="1:9" ht="31.5" customHeight="1">
      <c r="A141" s="35" t="s">
        <v>187</v>
      </c>
      <c r="B141" s="51" t="s">
        <v>176</v>
      </c>
      <c r="C141" s="66" t="s">
        <v>153</v>
      </c>
      <c r="D141" s="66" t="s">
        <v>377</v>
      </c>
      <c r="E141" s="66" t="s">
        <v>20</v>
      </c>
      <c r="F141" s="82" t="s">
        <v>155</v>
      </c>
      <c r="G141" s="188">
        <f t="shared" si="11"/>
        <v>100</v>
      </c>
      <c r="H141" s="188">
        <f>H142</f>
        <v>100</v>
      </c>
      <c r="I141" s="188">
        <f t="shared" si="10"/>
        <v>0</v>
      </c>
    </row>
    <row r="142" spans="1:9" ht="43.5" customHeight="1">
      <c r="A142" s="84" t="s">
        <v>188</v>
      </c>
      <c r="B142" s="51" t="s">
        <v>176</v>
      </c>
      <c r="C142" s="66" t="s">
        <v>153</v>
      </c>
      <c r="D142" s="66" t="s">
        <v>377</v>
      </c>
      <c r="E142" s="66" t="s">
        <v>20</v>
      </c>
      <c r="F142" s="66" t="s">
        <v>189</v>
      </c>
      <c r="G142" s="188">
        <f t="shared" si="11"/>
        <v>100</v>
      </c>
      <c r="H142" s="272">
        <v>100</v>
      </c>
      <c r="I142" s="188"/>
    </row>
    <row r="143" spans="1:9" ht="84.75" customHeight="1" hidden="1">
      <c r="A143" s="111" t="s">
        <v>769</v>
      </c>
      <c r="B143" s="175" t="s">
        <v>176</v>
      </c>
      <c r="C143" s="66" t="s">
        <v>146</v>
      </c>
      <c r="D143" s="66" t="s">
        <v>166</v>
      </c>
      <c r="E143" s="115" t="s">
        <v>753</v>
      </c>
      <c r="F143" s="66" t="s">
        <v>409</v>
      </c>
      <c r="G143" s="218">
        <f>H143+I143</f>
        <v>0</v>
      </c>
      <c r="H143" s="218"/>
      <c r="I143" s="218">
        <f>I144</f>
        <v>0</v>
      </c>
    </row>
    <row r="144" spans="1:9" ht="84.75" customHeight="1" hidden="1">
      <c r="A144" s="35" t="s">
        <v>184</v>
      </c>
      <c r="B144" s="43" t="s">
        <v>176</v>
      </c>
      <c r="C144" s="66" t="s">
        <v>146</v>
      </c>
      <c r="D144" s="66" t="s">
        <v>166</v>
      </c>
      <c r="E144" s="66" t="s">
        <v>753</v>
      </c>
      <c r="F144" s="66" t="s">
        <v>151</v>
      </c>
      <c r="G144" s="188">
        <f>H144+I144</f>
        <v>0</v>
      </c>
      <c r="H144" s="188"/>
      <c r="I144" s="188">
        <f>I145</f>
        <v>0</v>
      </c>
    </row>
    <row r="145" spans="1:9" ht="30.75" customHeight="1" hidden="1">
      <c r="A145" s="84" t="s">
        <v>186</v>
      </c>
      <c r="B145" s="43" t="s">
        <v>176</v>
      </c>
      <c r="C145" s="66" t="s">
        <v>146</v>
      </c>
      <c r="D145" s="66" t="s">
        <v>166</v>
      </c>
      <c r="E145" s="66" t="s">
        <v>753</v>
      </c>
      <c r="F145" s="66" t="s">
        <v>185</v>
      </c>
      <c r="G145" s="188">
        <f>H145+I145</f>
        <v>0</v>
      </c>
      <c r="H145" s="188"/>
      <c r="I145" s="188">
        <v>0</v>
      </c>
    </row>
    <row r="146" spans="1:9" ht="70.5" customHeight="1" hidden="1">
      <c r="A146" s="111" t="s">
        <v>770</v>
      </c>
      <c r="B146" s="175" t="s">
        <v>176</v>
      </c>
      <c r="C146" s="115" t="s">
        <v>146</v>
      </c>
      <c r="D146" s="115" t="s">
        <v>166</v>
      </c>
      <c r="E146" s="115" t="s">
        <v>754</v>
      </c>
      <c r="F146" s="115" t="s">
        <v>409</v>
      </c>
      <c r="G146" s="218">
        <f>H146</f>
        <v>0</v>
      </c>
      <c r="H146" s="218">
        <f>H147+H149</f>
        <v>0</v>
      </c>
      <c r="I146" s="218"/>
    </row>
    <row r="147" spans="1:9" ht="81.75" customHeight="1" hidden="1">
      <c r="A147" s="35" t="s">
        <v>184</v>
      </c>
      <c r="B147" s="43" t="s">
        <v>176</v>
      </c>
      <c r="C147" s="66" t="s">
        <v>146</v>
      </c>
      <c r="D147" s="66" t="s">
        <v>166</v>
      </c>
      <c r="E147" s="66" t="s">
        <v>754</v>
      </c>
      <c r="F147" s="66" t="s">
        <v>151</v>
      </c>
      <c r="G147" s="188">
        <f>H147</f>
        <v>0</v>
      </c>
      <c r="H147" s="188">
        <f>H148</f>
        <v>0</v>
      </c>
      <c r="I147" s="188"/>
    </row>
    <row r="148" spans="1:9" ht="30" customHeight="1" hidden="1">
      <c r="A148" s="84" t="s">
        <v>186</v>
      </c>
      <c r="B148" s="43" t="s">
        <v>176</v>
      </c>
      <c r="C148" s="66" t="s">
        <v>146</v>
      </c>
      <c r="D148" s="66" t="s">
        <v>166</v>
      </c>
      <c r="E148" s="66" t="s">
        <v>754</v>
      </c>
      <c r="F148" s="66" t="s">
        <v>185</v>
      </c>
      <c r="G148" s="188">
        <f>H148</f>
        <v>0</v>
      </c>
      <c r="H148" s="188">
        <v>0</v>
      </c>
      <c r="I148" s="188"/>
    </row>
    <row r="149" spans="1:9" ht="30.75" customHeight="1" hidden="1">
      <c r="A149" s="35" t="s">
        <v>187</v>
      </c>
      <c r="B149" s="43" t="s">
        <v>176</v>
      </c>
      <c r="C149" s="66" t="s">
        <v>146</v>
      </c>
      <c r="D149" s="66" t="s">
        <v>166</v>
      </c>
      <c r="E149" s="66" t="s">
        <v>754</v>
      </c>
      <c r="F149" s="66" t="s">
        <v>155</v>
      </c>
      <c r="G149" s="188">
        <f>H149</f>
        <v>0</v>
      </c>
      <c r="H149" s="188">
        <f>H150</f>
        <v>0</v>
      </c>
      <c r="I149" s="188"/>
    </row>
    <row r="150" spans="1:9" ht="42" customHeight="1" hidden="1">
      <c r="A150" s="84" t="s">
        <v>188</v>
      </c>
      <c r="B150" s="43" t="s">
        <v>176</v>
      </c>
      <c r="C150" s="66" t="s">
        <v>146</v>
      </c>
      <c r="D150" s="66" t="s">
        <v>166</v>
      </c>
      <c r="E150" s="66" t="s">
        <v>754</v>
      </c>
      <c r="F150" s="66" t="s">
        <v>189</v>
      </c>
      <c r="G150" s="188">
        <f>H150</f>
        <v>0</v>
      </c>
      <c r="H150" s="188">
        <v>0</v>
      </c>
      <c r="I150" s="188"/>
    </row>
    <row r="151" spans="1:9" ht="82.5" customHeight="1" hidden="1">
      <c r="A151" s="111" t="s">
        <v>771</v>
      </c>
      <c r="B151" s="175" t="s">
        <v>176</v>
      </c>
      <c r="C151" s="115" t="s">
        <v>146</v>
      </c>
      <c r="D151" s="115" t="s">
        <v>166</v>
      </c>
      <c r="E151" s="115" t="s">
        <v>772</v>
      </c>
      <c r="F151" s="115" t="s">
        <v>409</v>
      </c>
      <c r="G151" s="218">
        <f aca="true" t="shared" si="12" ref="G151:G158">H151+I151</f>
        <v>0</v>
      </c>
      <c r="H151" s="218"/>
      <c r="I151" s="218">
        <f>I152</f>
        <v>0</v>
      </c>
    </row>
    <row r="152" spans="1:9" ht="33" customHeight="1" hidden="1">
      <c r="A152" s="35" t="s">
        <v>187</v>
      </c>
      <c r="B152" s="43" t="s">
        <v>176</v>
      </c>
      <c r="C152" s="66" t="s">
        <v>146</v>
      </c>
      <c r="D152" s="66" t="s">
        <v>166</v>
      </c>
      <c r="E152" s="66" t="s">
        <v>772</v>
      </c>
      <c r="F152" s="66" t="s">
        <v>155</v>
      </c>
      <c r="G152" s="188">
        <f t="shared" si="12"/>
        <v>0</v>
      </c>
      <c r="H152" s="188"/>
      <c r="I152" s="188">
        <f>I153</f>
        <v>0</v>
      </c>
    </row>
    <row r="153" spans="1:9" ht="41.25" customHeight="1" hidden="1">
      <c r="A153" s="84" t="s">
        <v>188</v>
      </c>
      <c r="B153" s="43" t="s">
        <v>176</v>
      </c>
      <c r="C153" s="66" t="s">
        <v>146</v>
      </c>
      <c r="D153" s="66" t="s">
        <v>166</v>
      </c>
      <c r="E153" s="66" t="s">
        <v>772</v>
      </c>
      <c r="F153" s="66" t="s">
        <v>189</v>
      </c>
      <c r="G153" s="188">
        <f t="shared" si="12"/>
        <v>0</v>
      </c>
      <c r="H153" s="188"/>
      <c r="I153" s="188">
        <v>0</v>
      </c>
    </row>
    <row r="154" spans="1:9" ht="42" customHeight="1" hidden="1">
      <c r="A154" s="239" t="s">
        <v>375</v>
      </c>
      <c r="B154" s="456">
        <v>951</v>
      </c>
      <c r="C154" s="465" t="s">
        <v>153</v>
      </c>
      <c r="D154" s="465" t="s">
        <v>147</v>
      </c>
      <c r="E154" s="465" t="s">
        <v>320</v>
      </c>
      <c r="F154" s="465" t="s">
        <v>409</v>
      </c>
      <c r="G154" s="249">
        <f t="shared" si="12"/>
        <v>0</v>
      </c>
      <c r="H154" s="306">
        <f aca="true" t="shared" si="13" ref="H154:I157">H155</f>
        <v>0</v>
      </c>
      <c r="I154" s="306">
        <f t="shared" si="13"/>
        <v>0</v>
      </c>
    </row>
    <row r="155" spans="1:9" ht="43.5" customHeight="1" hidden="1">
      <c r="A155" s="378" t="s">
        <v>376</v>
      </c>
      <c r="B155" s="466">
        <v>951</v>
      </c>
      <c r="C155" s="467" t="s">
        <v>153</v>
      </c>
      <c r="D155" s="467" t="s">
        <v>377</v>
      </c>
      <c r="E155" s="467" t="s">
        <v>320</v>
      </c>
      <c r="F155" s="467" t="s">
        <v>409</v>
      </c>
      <c r="G155" s="350">
        <f t="shared" si="12"/>
        <v>0</v>
      </c>
      <c r="H155" s="468">
        <f>H156</f>
        <v>0</v>
      </c>
      <c r="I155" s="468">
        <f t="shared" si="13"/>
        <v>0</v>
      </c>
    </row>
    <row r="156" spans="1:9" ht="58.5" customHeight="1" hidden="1">
      <c r="A156" s="378" t="s">
        <v>787</v>
      </c>
      <c r="B156" s="466">
        <v>951</v>
      </c>
      <c r="C156" s="467" t="s">
        <v>153</v>
      </c>
      <c r="D156" s="467" t="s">
        <v>377</v>
      </c>
      <c r="E156" s="467" t="s">
        <v>788</v>
      </c>
      <c r="F156" s="467" t="s">
        <v>409</v>
      </c>
      <c r="G156" s="350">
        <f t="shared" si="12"/>
        <v>0</v>
      </c>
      <c r="H156" s="468">
        <f>H157</f>
        <v>0</v>
      </c>
      <c r="I156" s="468">
        <f t="shared" si="13"/>
        <v>0</v>
      </c>
    </row>
    <row r="157" spans="1:9" ht="34.5" customHeight="1" hidden="1">
      <c r="A157" s="378" t="s">
        <v>187</v>
      </c>
      <c r="B157" s="466">
        <v>951</v>
      </c>
      <c r="C157" s="467" t="s">
        <v>153</v>
      </c>
      <c r="D157" s="467" t="s">
        <v>377</v>
      </c>
      <c r="E157" s="467" t="s">
        <v>788</v>
      </c>
      <c r="F157" s="467" t="s">
        <v>155</v>
      </c>
      <c r="G157" s="350">
        <f t="shared" si="12"/>
        <v>0</v>
      </c>
      <c r="H157" s="468">
        <f>H158</f>
        <v>0</v>
      </c>
      <c r="I157" s="468">
        <f t="shared" si="13"/>
        <v>0</v>
      </c>
    </row>
    <row r="158" spans="1:9" ht="43.5" customHeight="1" hidden="1">
      <c r="A158" s="379" t="s">
        <v>188</v>
      </c>
      <c r="B158" s="466">
        <v>951</v>
      </c>
      <c r="C158" s="467" t="s">
        <v>153</v>
      </c>
      <c r="D158" s="467" t="s">
        <v>377</v>
      </c>
      <c r="E158" s="467" t="s">
        <v>788</v>
      </c>
      <c r="F158" s="467" t="s">
        <v>189</v>
      </c>
      <c r="G158" s="350">
        <f t="shared" si="12"/>
        <v>0</v>
      </c>
      <c r="H158" s="468">
        <v>0</v>
      </c>
      <c r="I158" s="468"/>
    </row>
    <row r="159" spans="1:9" ht="14.25">
      <c r="A159" s="240" t="s">
        <v>379</v>
      </c>
      <c r="B159" s="456">
        <v>951</v>
      </c>
      <c r="C159" s="465" t="s">
        <v>157</v>
      </c>
      <c r="D159" s="465" t="s">
        <v>147</v>
      </c>
      <c r="E159" s="465" t="s">
        <v>320</v>
      </c>
      <c r="F159" s="465" t="s">
        <v>409</v>
      </c>
      <c r="G159" s="249">
        <f>I159+H159</f>
        <v>29636.240299999998</v>
      </c>
      <c r="H159" s="306">
        <f>H164+H177+H198+H160</f>
        <v>26366.94229</v>
      </c>
      <c r="I159" s="306">
        <f>I164+I177+I198+I160+I203</f>
        <v>3269.29801</v>
      </c>
    </row>
    <row r="160" spans="1:9" ht="15">
      <c r="A160" s="35" t="s">
        <v>241</v>
      </c>
      <c r="B160" s="43" t="s">
        <v>176</v>
      </c>
      <c r="C160" s="66" t="s">
        <v>157</v>
      </c>
      <c r="D160" s="66" t="s">
        <v>389</v>
      </c>
      <c r="E160" s="66" t="s">
        <v>320</v>
      </c>
      <c r="F160" s="66" t="s">
        <v>409</v>
      </c>
      <c r="G160" s="188">
        <f t="shared" si="11"/>
        <v>265.91093</v>
      </c>
      <c r="H160" s="188">
        <f>H161</f>
        <v>0</v>
      </c>
      <c r="I160" s="188">
        <f>I161</f>
        <v>265.91093</v>
      </c>
    </row>
    <row r="161" spans="1:9" ht="105">
      <c r="A161" s="380" t="s">
        <v>717</v>
      </c>
      <c r="B161" s="459" t="s">
        <v>176</v>
      </c>
      <c r="C161" s="230" t="s">
        <v>157</v>
      </c>
      <c r="D161" s="230" t="s">
        <v>389</v>
      </c>
      <c r="E161" s="230" t="s">
        <v>40</v>
      </c>
      <c r="F161" s="230" t="s">
        <v>409</v>
      </c>
      <c r="G161" s="243">
        <f t="shared" si="11"/>
        <v>265.91093</v>
      </c>
      <c r="H161" s="243"/>
      <c r="I161" s="243">
        <f>I162</f>
        <v>265.91093</v>
      </c>
    </row>
    <row r="162" spans="1:9" ht="30" customHeight="1">
      <c r="A162" s="35" t="s">
        <v>187</v>
      </c>
      <c r="B162" s="43" t="s">
        <v>176</v>
      </c>
      <c r="C162" s="66" t="s">
        <v>157</v>
      </c>
      <c r="D162" s="66" t="s">
        <v>389</v>
      </c>
      <c r="E162" s="66" t="s">
        <v>40</v>
      </c>
      <c r="F162" s="66" t="s">
        <v>155</v>
      </c>
      <c r="G162" s="188">
        <f t="shared" si="11"/>
        <v>265.91093</v>
      </c>
      <c r="H162" s="188"/>
      <c r="I162" s="188">
        <f>I163</f>
        <v>265.91093</v>
      </c>
    </row>
    <row r="163" spans="1:9" ht="45" customHeight="1">
      <c r="A163" s="84" t="s">
        <v>188</v>
      </c>
      <c r="B163" s="43" t="s">
        <v>176</v>
      </c>
      <c r="C163" s="66" t="s">
        <v>157</v>
      </c>
      <c r="D163" s="66" t="s">
        <v>389</v>
      </c>
      <c r="E163" s="66" t="s">
        <v>40</v>
      </c>
      <c r="F163" s="66" t="s">
        <v>189</v>
      </c>
      <c r="G163" s="188">
        <f t="shared" si="11"/>
        <v>265.91093</v>
      </c>
      <c r="H163" s="188"/>
      <c r="I163" s="188">
        <v>265.91093</v>
      </c>
    </row>
    <row r="164" spans="1:9" ht="15">
      <c r="A164" s="35" t="s">
        <v>416</v>
      </c>
      <c r="B164" s="43">
        <v>951</v>
      </c>
      <c r="C164" s="66" t="s">
        <v>157</v>
      </c>
      <c r="D164" s="66" t="s">
        <v>380</v>
      </c>
      <c r="E164" s="66" t="s">
        <v>320</v>
      </c>
      <c r="F164" s="66" t="s">
        <v>409</v>
      </c>
      <c r="G164" s="188">
        <f t="shared" si="11"/>
        <v>2303.38708</v>
      </c>
      <c r="H164" s="188">
        <f>H165</f>
        <v>2300</v>
      </c>
      <c r="I164" s="188">
        <f>I166+I174</f>
        <v>3.38708</v>
      </c>
    </row>
    <row r="165" spans="1:9" ht="87.75" customHeight="1">
      <c r="A165" s="110" t="s">
        <v>491</v>
      </c>
      <c r="B165" s="175" t="s">
        <v>176</v>
      </c>
      <c r="C165" s="115" t="s">
        <v>157</v>
      </c>
      <c r="D165" s="115" t="s">
        <v>380</v>
      </c>
      <c r="E165" s="115" t="s">
        <v>320</v>
      </c>
      <c r="F165" s="115" t="s">
        <v>409</v>
      </c>
      <c r="G165" s="218">
        <f t="shared" si="11"/>
        <v>2300</v>
      </c>
      <c r="H165" s="218">
        <f>H166+H170</f>
        <v>2300</v>
      </c>
      <c r="I165" s="218"/>
    </row>
    <row r="166" spans="1:9" ht="15">
      <c r="A166" s="42" t="s">
        <v>417</v>
      </c>
      <c r="B166" s="43">
        <v>951</v>
      </c>
      <c r="C166" s="66" t="s">
        <v>157</v>
      </c>
      <c r="D166" s="66" t="s">
        <v>380</v>
      </c>
      <c r="E166" s="66" t="s">
        <v>492</v>
      </c>
      <c r="F166" s="66" t="s">
        <v>409</v>
      </c>
      <c r="G166" s="188">
        <f t="shared" si="11"/>
        <v>2300</v>
      </c>
      <c r="H166" s="188">
        <f>H167+H172</f>
        <v>2300</v>
      </c>
      <c r="I166" s="188">
        <f aca="true" t="shared" si="14" ref="H166:I168">I167</f>
        <v>0</v>
      </c>
    </row>
    <row r="167" spans="1:9" ht="30.75" customHeight="1">
      <c r="A167" s="42" t="s">
        <v>418</v>
      </c>
      <c r="B167" s="43">
        <v>951</v>
      </c>
      <c r="C167" s="66" t="s">
        <v>157</v>
      </c>
      <c r="D167" s="66" t="s">
        <v>380</v>
      </c>
      <c r="E167" s="66" t="s">
        <v>492</v>
      </c>
      <c r="F167" s="66" t="s">
        <v>409</v>
      </c>
      <c r="G167" s="188">
        <f t="shared" si="11"/>
        <v>2296.175</v>
      </c>
      <c r="H167" s="188">
        <f t="shared" si="14"/>
        <v>2296.175</v>
      </c>
      <c r="I167" s="188">
        <f t="shared" si="14"/>
        <v>0</v>
      </c>
    </row>
    <row r="168" spans="1:9" ht="15">
      <c r="A168" s="42" t="s">
        <v>192</v>
      </c>
      <c r="B168" s="43">
        <v>951</v>
      </c>
      <c r="C168" s="66" t="s">
        <v>157</v>
      </c>
      <c r="D168" s="66" t="s">
        <v>380</v>
      </c>
      <c r="E168" s="66" t="s">
        <v>492</v>
      </c>
      <c r="F168" s="66" t="s">
        <v>193</v>
      </c>
      <c r="G168" s="188">
        <f t="shared" si="11"/>
        <v>2296.175</v>
      </c>
      <c r="H168" s="188">
        <f t="shared" si="14"/>
        <v>2296.175</v>
      </c>
      <c r="I168" s="188">
        <f t="shared" si="14"/>
        <v>0</v>
      </c>
    </row>
    <row r="169" spans="1:9" ht="48.75" customHeight="1">
      <c r="A169" s="35" t="s">
        <v>712</v>
      </c>
      <c r="B169" s="43">
        <v>951</v>
      </c>
      <c r="C169" s="66" t="s">
        <v>157</v>
      </c>
      <c r="D169" s="66" t="s">
        <v>380</v>
      </c>
      <c r="E169" s="66" t="s">
        <v>492</v>
      </c>
      <c r="F169" s="66" t="s">
        <v>458</v>
      </c>
      <c r="G169" s="188">
        <f t="shared" si="11"/>
        <v>2296.175</v>
      </c>
      <c r="H169" s="188">
        <f>2300-3.825</f>
        <v>2296.175</v>
      </c>
      <c r="I169" s="188"/>
    </row>
    <row r="170" spans="1:9" ht="17.25" customHeight="1" hidden="1">
      <c r="A170" s="84" t="s">
        <v>198</v>
      </c>
      <c r="B170" s="43">
        <v>951</v>
      </c>
      <c r="C170" s="66" t="s">
        <v>157</v>
      </c>
      <c r="D170" s="66" t="s">
        <v>380</v>
      </c>
      <c r="E170" s="66" t="s">
        <v>678</v>
      </c>
      <c r="F170" s="66" t="s">
        <v>199</v>
      </c>
      <c r="G170" s="188">
        <f>H170+I170</f>
        <v>0</v>
      </c>
      <c r="H170" s="188">
        <f>H171</f>
        <v>0</v>
      </c>
      <c r="I170" s="188"/>
    </row>
    <row r="171" spans="1:9" ht="18.75" customHeight="1" hidden="1">
      <c r="A171" s="84" t="s">
        <v>302</v>
      </c>
      <c r="B171" s="43">
        <v>951</v>
      </c>
      <c r="C171" s="66" t="s">
        <v>157</v>
      </c>
      <c r="D171" s="66" t="s">
        <v>380</v>
      </c>
      <c r="E171" s="66" t="s">
        <v>678</v>
      </c>
      <c r="F171" s="66" t="s">
        <v>455</v>
      </c>
      <c r="G171" s="188">
        <f>H171+I171</f>
        <v>0</v>
      </c>
      <c r="H171" s="188">
        <v>0</v>
      </c>
      <c r="I171" s="188"/>
    </row>
    <row r="172" spans="1:9" ht="32.25" customHeight="1">
      <c r="A172" s="35" t="s">
        <v>187</v>
      </c>
      <c r="B172" s="43">
        <v>951</v>
      </c>
      <c r="C172" s="66" t="s">
        <v>157</v>
      </c>
      <c r="D172" s="66" t="s">
        <v>380</v>
      </c>
      <c r="E172" s="66" t="s">
        <v>492</v>
      </c>
      <c r="F172" s="66" t="s">
        <v>155</v>
      </c>
      <c r="G172" s="188">
        <f>H172</f>
        <v>3.825</v>
      </c>
      <c r="H172" s="188">
        <f>H173</f>
        <v>3.825</v>
      </c>
      <c r="I172" s="188"/>
    </row>
    <row r="173" spans="1:9" ht="42.75" customHeight="1">
      <c r="A173" s="84" t="s">
        <v>188</v>
      </c>
      <c r="B173" s="43">
        <v>951</v>
      </c>
      <c r="C173" s="66" t="s">
        <v>157</v>
      </c>
      <c r="D173" s="66" t="s">
        <v>380</v>
      </c>
      <c r="E173" s="66" t="s">
        <v>492</v>
      </c>
      <c r="F173" s="66" t="s">
        <v>189</v>
      </c>
      <c r="G173" s="188">
        <f>H173</f>
        <v>3.825</v>
      </c>
      <c r="H173" s="188">
        <v>3.825</v>
      </c>
      <c r="I173" s="188"/>
    </row>
    <row r="174" spans="1:9" ht="111.75" customHeight="1">
      <c r="A174" s="111" t="s">
        <v>567</v>
      </c>
      <c r="B174" s="175" t="s">
        <v>176</v>
      </c>
      <c r="C174" s="115" t="s">
        <v>157</v>
      </c>
      <c r="D174" s="115" t="s">
        <v>380</v>
      </c>
      <c r="E174" s="115" t="s">
        <v>320</v>
      </c>
      <c r="F174" s="115" t="s">
        <v>409</v>
      </c>
      <c r="G174" s="218">
        <f>H174+I174</f>
        <v>3.38708</v>
      </c>
      <c r="H174" s="218"/>
      <c r="I174" s="218">
        <f>I175</f>
        <v>3.38708</v>
      </c>
    </row>
    <row r="175" spans="1:9" ht="33" customHeight="1">
      <c r="A175" s="35" t="s">
        <v>187</v>
      </c>
      <c r="B175" s="43" t="s">
        <v>176</v>
      </c>
      <c r="C175" s="66" t="s">
        <v>157</v>
      </c>
      <c r="D175" s="66" t="s">
        <v>380</v>
      </c>
      <c r="E175" s="66" t="s">
        <v>568</v>
      </c>
      <c r="F175" s="66" t="s">
        <v>155</v>
      </c>
      <c r="G175" s="188">
        <f>H175+I175</f>
        <v>3.38708</v>
      </c>
      <c r="H175" s="188"/>
      <c r="I175" s="188">
        <f>I176</f>
        <v>3.38708</v>
      </c>
    </row>
    <row r="176" spans="1:9" ht="33" customHeight="1">
      <c r="A176" s="84" t="s">
        <v>188</v>
      </c>
      <c r="B176" s="43" t="s">
        <v>176</v>
      </c>
      <c r="C176" s="66" t="s">
        <v>157</v>
      </c>
      <c r="D176" s="66" t="s">
        <v>380</v>
      </c>
      <c r="E176" s="66" t="s">
        <v>568</v>
      </c>
      <c r="F176" s="66" t="s">
        <v>189</v>
      </c>
      <c r="G176" s="188">
        <f>H176+I176</f>
        <v>3.38708</v>
      </c>
      <c r="H176" s="188"/>
      <c r="I176" s="188">
        <v>3.38708</v>
      </c>
    </row>
    <row r="177" spans="1:9" ht="17.25" customHeight="1">
      <c r="A177" s="357" t="s">
        <v>381</v>
      </c>
      <c r="B177" s="463">
        <v>951</v>
      </c>
      <c r="C177" s="358" t="s">
        <v>157</v>
      </c>
      <c r="D177" s="358" t="s">
        <v>377</v>
      </c>
      <c r="E177" s="358" t="s">
        <v>320</v>
      </c>
      <c r="F177" s="358" t="s">
        <v>409</v>
      </c>
      <c r="G177" s="359">
        <f t="shared" si="11"/>
        <v>27066.94229</v>
      </c>
      <c r="H177" s="359">
        <f>H178+H191</f>
        <v>24066.94229</v>
      </c>
      <c r="I177" s="359">
        <f>I178</f>
        <v>3000</v>
      </c>
    </row>
    <row r="178" spans="1:9" ht="87" customHeight="1">
      <c r="A178" s="110" t="s">
        <v>491</v>
      </c>
      <c r="B178" s="175" t="s">
        <v>176</v>
      </c>
      <c r="C178" s="115" t="s">
        <v>157</v>
      </c>
      <c r="D178" s="115" t="s">
        <v>377</v>
      </c>
      <c r="E178" s="115" t="s">
        <v>320</v>
      </c>
      <c r="F178" s="115" t="s">
        <v>409</v>
      </c>
      <c r="G178" s="218">
        <f t="shared" si="11"/>
        <v>26946.48429</v>
      </c>
      <c r="H178" s="218">
        <f>H179+H182+H186</f>
        <v>23946.48429</v>
      </c>
      <c r="I178" s="218">
        <f>I179+I186</f>
        <v>3000</v>
      </c>
    </row>
    <row r="179" spans="1:9" ht="33" customHeight="1">
      <c r="A179" s="42" t="s">
        <v>382</v>
      </c>
      <c r="B179" s="43">
        <v>951</v>
      </c>
      <c r="C179" s="66" t="s">
        <v>157</v>
      </c>
      <c r="D179" s="66" t="s">
        <v>377</v>
      </c>
      <c r="E179" s="66" t="s">
        <v>494</v>
      </c>
      <c r="F179" s="66" t="s">
        <v>409</v>
      </c>
      <c r="G179" s="188">
        <f t="shared" si="11"/>
        <v>14490.181260000001</v>
      </c>
      <c r="H179" s="188">
        <f>H180</f>
        <v>14490.181260000001</v>
      </c>
      <c r="I179" s="188">
        <f>I180</f>
        <v>0</v>
      </c>
    </row>
    <row r="180" spans="1:9" ht="33" customHeight="1">
      <c r="A180" s="35" t="s">
        <v>187</v>
      </c>
      <c r="B180" s="43">
        <v>951</v>
      </c>
      <c r="C180" s="66" t="s">
        <v>157</v>
      </c>
      <c r="D180" s="66" t="s">
        <v>377</v>
      </c>
      <c r="E180" s="66" t="s">
        <v>494</v>
      </c>
      <c r="F180" s="66" t="s">
        <v>155</v>
      </c>
      <c r="G180" s="188">
        <f t="shared" si="11"/>
        <v>14490.181260000001</v>
      </c>
      <c r="H180" s="188">
        <f>H181</f>
        <v>14490.181260000001</v>
      </c>
      <c r="I180" s="188">
        <f>I181</f>
        <v>0</v>
      </c>
    </row>
    <row r="181" spans="1:9" ht="41.25" customHeight="1">
      <c r="A181" s="84" t="s">
        <v>188</v>
      </c>
      <c r="B181" s="43">
        <v>951</v>
      </c>
      <c r="C181" s="66" t="s">
        <v>157</v>
      </c>
      <c r="D181" s="66" t="s">
        <v>377</v>
      </c>
      <c r="E181" s="66" t="s">
        <v>494</v>
      </c>
      <c r="F181" s="66" t="s">
        <v>189</v>
      </c>
      <c r="G181" s="188">
        <f t="shared" si="11"/>
        <v>14490.181260000001</v>
      </c>
      <c r="H181" s="188">
        <f>5217-30.30303+9986.48429+161.18502-282-562.18502</f>
        <v>14490.181260000001</v>
      </c>
      <c r="I181" s="188"/>
    </row>
    <row r="182" spans="1:9" ht="15">
      <c r="A182" s="84" t="s">
        <v>198</v>
      </c>
      <c r="B182" s="43">
        <v>951</v>
      </c>
      <c r="C182" s="66" t="s">
        <v>157</v>
      </c>
      <c r="D182" s="66" t="s">
        <v>377</v>
      </c>
      <c r="E182" s="66" t="s">
        <v>493</v>
      </c>
      <c r="F182" s="66" t="s">
        <v>199</v>
      </c>
      <c r="G182" s="188">
        <f t="shared" si="11"/>
        <v>9426</v>
      </c>
      <c r="H182" s="188">
        <f>H183+H184+H185</f>
        <v>9426</v>
      </c>
      <c r="I182" s="188"/>
    </row>
    <row r="183" spans="1:9" ht="15">
      <c r="A183" s="84" t="s">
        <v>302</v>
      </c>
      <c r="B183" s="43">
        <v>951</v>
      </c>
      <c r="C183" s="66" t="s">
        <v>157</v>
      </c>
      <c r="D183" s="66" t="s">
        <v>377</v>
      </c>
      <c r="E183" s="66" t="s">
        <v>493</v>
      </c>
      <c r="F183" s="66" t="s">
        <v>455</v>
      </c>
      <c r="G183" s="188">
        <f t="shared" si="11"/>
        <v>9426</v>
      </c>
      <c r="H183" s="188">
        <f>9542-161.18502-517+562.18502</f>
        <v>9426</v>
      </c>
      <c r="I183" s="188"/>
    </row>
    <row r="184" spans="1:9" ht="90" hidden="1">
      <c r="A184" s="84" t="s">
        <v>513</v>
      </c>
      <c r="B184" s="43">
        <v>952</v>
      </c>
      <c r="C184" s="66" t="s">
        <v>157</v>
      </c>
      <c r="D184" s="66" t="s">
        <v>377</v>
      </c>
      <c r="E184" s="66" t="s">
        <v>514</v>
      </c>
      <c r="F184" s="66" t="s">
        <v>455</v>
      </c>
      <c r="G184" s="188">
        <f>H184</f>
        <v>0</v>
      </c>
      <c r="H184" s="188"/>
      <c r="I184" s="188"/>
    </row>
    <row r="185" spans="1:9" ht="105" hidden="1">
      <c r="A185" s="84" t="s">
        <v>517</v>
      </c>
      <c r="B185" s="43">
        <v>953</v>
      </c>
      <c r="C185" s="66" t="s">
        <v>157</v>
      </c>
      <c r="D185" s="66" t="s">
        <v>377</v>
      </c>
      <c r="E185" s="66" t="s">
        <v>514</v>
      </c>
      <c r="F185" s="66" t="s">
        <v>455</v>
      </c>
      <c r="G185" s="188">
        <f>H185</f>
        <v>0</v>
      </c>
      <c r="H185" s="188"/>
      <c r="I185" s="188"/>
    </row>
    <row r="186" spans="1:9" ht="29.25" customHeight="1">
      <c r="A186" s="111" t="s">
        <v>725</v>
      </c>
      <c r="B186" s="175">
        <v>951</v>
      </c>
      <c r="C186" s="115" t="s">
        <v>157</v>
      </c>
      <c r="D186" s="115" t="s">
        <v>377</v>
      </c>
      <c r="E186" s="115" t="s">
        <v>471</v>
      </c>
      <c r="F186" s="115" t="s">
        <v>409</v>
      </c>
      <c r="G186" s="218">
        <f>H186+I186</f>
        <v>3030.30303</v>
      </c>
      <c r="H186" s="218">
        <f>H188+H190</f>
        <v>30.30303</v>
      </c>
      <c r="I186" s="218">
        <f>I188+I190</f>
        <v>3000</v>
      </c>
    </row>
    <row r="187" spans="1:9" ht="29.25" customHeight="1">
      <c r="A187" s="35" t="s">
        <v>187</v>
      </c>
      <c r="B187" s="43">
        <v>951</v>
      </c>
      <c r="C187" s="66" t="s">
        <v>157</v>
      </c>
      <c r="D187" s="66" t="s">
        <v>377</v>
      </c>
      <c r="E187" s="66" t="s">
        <v>719</v>
      </c>
      <c r="F187" s="66" t="s">
        <v>155</v>
      </c>
      <c r="G187" s="188">
        <f>I187</f>
        <v>3000</v>
      </c>
      <c r="H187" s="188"/>
      <c r="I187" s="188">
        <f>I188</f>
        <v>3000</v>
      </c>
    </row>
    <row r="188" spans="1:9" ht="45">
      <c r="A188" s="84" t="s">
        <v>188</v>
      </c>
      <c r="B188" s="43">
        <v>951</v>
      </c>
      <c r="C188" s="66" t="s">
        <v>157</v>
      </c>
      <c r="D188" s="66" t="s">
        <v>377</v>
      </c>
      <c r="E188" s="66" t="s">
        <v>719</v>
      </c>
      <c r="F188" s="66" t="s">
        <v>189</v>
      </c>
      <c r="G188" s="188">
        <f>H188+I188</f>
        <v>3000</v>
      </c>
      <c r="H188" s="188"/>
      <c r="I188" s="188">
        <v>3000</v>
      </c>
    </row>
    <row r="189" spans="1:9" ht="30">
      <c r="A189" s="35" t="s">
        <v>187</v>
      </c>
      <c r="B189" s="43">
        <v>951</v>
      </c>
      <c r="C189" s="66" t="s">
        <v>157</v>
      </c>
      <c r="D189" s="66" t="s">
        <v>377</v>
      </c>
      <c r="E189" s="66" t="s">
        <v>744</v>
      </c>
      <c r="F189" s="66" t="s">
        <v>155</v>
      </c>
      <c r="G189" s="188">
        <f>H189</f>
        <v>30.30303</v>
      </c>
      <c r="H189" s="188">
        <f>H190</f>
        <v>30.30303</v>
      </c>
      <c r="I189" s="188"/>
    </row>
    <row r="190" spans="1:9" ht="45">
      <c r="A190" s="84" t="s">
        <v>188</v>
      </c>
      <c r="B190" s="43">
        <v>951</v>
      </c>
      <c r="C190" s="66" t="s">
        <v>157</v>
      </c>
      <c r="D190" s="66" t="s">
        <v>377</v>
      </c>
      <c r="E190" s="66" t="s">
        <v>744</v>
      </c>
      <c r="F190" s="66" t="s">
        <v>189</v>
      </c>
      <c r="G190" s="188">
        <f>H190</f>
        <v>30.30303</v>
      </c>
      <c r="H190" s="188">
        <v>30.30303</v>
      </c>
      <c r="I190" s="347"/>
    </row>
    <row r="191" spans="1:9" ht="30.75" customHeight="1">
      <c r="A191" s="111" t="s">
        <v>149</v>
      </c>
      <c r="B191" s="175" t="s">
        <v>176</v>
      </c>
      <c r="C191" s="115" t="s">
        <v>157</v>
      </c>
      <c r="D191" s="115" t="s">
        <v>377</v>
      </c>
      <c r="E191" s="115" t="s">
        <v>10</v>
      </c>
      <c r="F191" s="115" t="s">
        <v>409</v>
      </c>
      <c r="G191" s="218">
        <f t="shared" si="11"/>
        <v>120.458</v>
      </c>
      <c r="H191" s="218">
        <f>H192</f>
        <v>120.458</v>
      </c>
      <c r="I191" s="218"/>
    </row>
    <row r="192" spans="1:9" ht="31.5" customHeight="1">
      <c r="A192" s="84" t="s">
        <v>150</v>
      </c>
      <c r="B192" s="43" t="s">
        <v>176</v>
      </c>
      <c r="C192" s="66" t="s">
        <v>157</v>
      </c>
      <c r="D192" s="66" t="s">
        <v>377</v>
      </c>
      <c r="E192" s="66" t="s">
        <v>11</v>
      </c>
      <c r="F192" s="66" t="s">
        <v>409</v>
      </c>
      <c r="G192" s="188">
        <f t="shared" si="11"/>
        <v>120.458</v>
      </c>
      <c r="H192" s="188">
        <f>H193</f>
        <v>120.458</v>
      </c>
      <c r="I192" s="188"/>
    </row>
    <row r="193" spans="1:9" ht="19.5" customHeight="1">
      <c r="A193" s="35" t="s">
        <v>569</v>
      </c>
      <c r="B193" s="43" t="s">
        <v>176</v>
      </c>
      <c r="C193" s="66" t="s">
        <v>157</v>
      </c>
      <c r="D193" s="66" t="s">
        <v>377</v>
      </c>
      <c r="E193" s="43" t="s">
        <v>570</v>
      </c>
      <c r="F193" s="66" t="s">
        <v>409</v>
      </c>
      <c r="G193" s="188">
        <f t="shared" si="11"/>
        <v>120.458</v>
      </c>
      <c r="H193" s="188">
        <f>H194+H196</f>
        <v>120.458</v>
      </c>
      <c r="I193" s="188"/>
    </row>
    <row r="194" spans="1:9" ht="30.75" customHeight="1" hidden="1">
      <c r="A194" s="35" t="s">
        <v>187</v>
      </c>
      <c r="B194" s="43" t="s">
        <v>176</v>
      </c>
      <c r="C194" s="66" t="s">
        <v>157</v>
      </c>
      <c r="D194" s="66" t="s">
        <v>377</v>
      </c>
      <c r="E194" s="43" t="s">
        <v>570</v>
      </c>
      <c r="F194" s="66" t="s">
        <v>155</v>
      </c>
      <c r="G194" s="188">
        <f t="shared" si="11"/>
        <v>0</v>
      </c>
      <c r="H194" s="188">
        <f>H195</f>
        <v>0</v>
      </c>
      <c r="I194" s="188"/>
    </row>
    <row r="195" spans="1:9" ht="45" customHeight="1" hidden="1">
      <c r="A195" s="84" t="s">
        <v>188</v>
      </c>
      <c r="B195" s="43" t="s">
        <v>176</v>
      </c>
      <c r="C195" s="66" t="s">
        <v>157</v>
      </c>
      <c r="D195" s="66" t="s">
        <v>377</v>
      </c>
      <c r="E195" s="43" t="s">
        <v>570</v>
      </c>
      <c r="F195" s="66" t="s">
        <v>189</v>
      </c>
      <c r="G195" s="188">
        <f t="shared" si="11"/>
        <v>0</v>
      </c>
      <c r="H195" s="188">
        <v>0</v>
      </c>
      <c r="I195" s="188"/>
    </row>
    <row r="196" spans="1:9" ht="18" customHeight="1">
      <c r="A196" s="35" t="s">
        <v>192</v>
      </c>
      <c r="B196" s="43" t="s">
        <v>176</v>
      </c>
      <c r="C196" s="66" t="s">
        <v>157</v>
      </c>
      <c r="D196" s="66" t="s">
        <v>377</v>
      </c>
      <c r="E196" s="43" t="s">
        <v>570</v>
      </c>
      <c r="F196" s="66" t="s">
        <v>193</v>
      </c>
      <c r="G196" s="188">
        <f t="shared" si="11"/>
        <v>120.458</v>
      </c>
      <c r="H196" s="188">
        <f>H197</f>
        <v>120.458</v>
      </c>
      <c r="I196" s="188"/>
    </row>
    <row r="197" spans="1:9" ht="15" customHeight="1">
      <c r="A197" s="67" t="s">
        <v>190</v>
      </c>
      <c r="B197" s="43" t="s">
        <v>176</v>
      </c>
      <c r="C197" s="66" t="s">
        <v>157</v>
      </c>
      <c r="D197" s="66" t="s">
        <v>377</v>
      </c>
      <c r="E197" s="43" t="s">
        <v>570</v>
      </c>
      <c r="F197" s="66" t="s">
        <v>191</v>
      </c>
      <c r="G197" s="188">
        <f t="shared" si="11"/>
        <v>120.458</v>
      </c>
      <c r="H197" s="188">
        <f>80.3+40.158</f>
        <v>120.458</v>
      </c>
      <c r="I197" s="188"/>
    </row>
    <row r="198" spans="1:9" ht="30" hidden="1">
      <c r="A198" s="35" t="s">
        <v>361</v>
      </c>
      <c r="B198" s="179">
        <v>951</v>
      </c>
      <c r="C198" s="66" t="s">
        <v>157</v>
      </c>
      <c r="D198" s="66" t="s">
        <v>383</v>
      </c>
      <c r="E198" s="66" t="s">
        <v>320</v>
      </c>
      <c r="F198" s="66" t="s">
        <v>409</v>
      </c>
      <c r="G198" s="188">
        <f t="shared" si="11"/>
        <v>0</v>
      </c>
      <c r="H198" s="275">
        <f>H199</f>
        <v>0</v>
      </c>
      <c r="I198" s="275">
        <f>I199</f>
        <v>0</v>
      </c>
    </row>
    <row r="199" spans="1:9" ht="43.5" customHeight="1" hidden="1">
      <c r="A199" s="133" t="s">
        <v>468</v>
      </c>
      <c r="B199" s="179">
        <v>951</v>
      </c>
      <c r="C199" s="82" t="s">
        <v>157</v>
      </c>
      <c r="D199" s="82" t="s">
        <v>383</v>
      </c>
      <c r="E199" s="115" t="s">
        <v>469</v>
      </c>
      <c r="F199" s="82" t="s">
        <v>409</v>
      </c>
      <c r="G199" s="188">
        <f t="shared" si="11"/>
        <v>0</v>
      </c>
      <c r="H199" s="275">
        <f aca="true" t="shared" si="15" ref="H199:I201">H200</f>
        <v>0</v>
      </c>
      <c r="I199" s="275">
        <f t="shared" si="15"/>
        <v>0</v>
      </c>
    </row>
    <row r="200" spans="1:9" ht="99" customHeight="1" hidden="1">
      <c r="A200" s="42" t="s">
        <v>385</v>
      </c>
      <c r="B200" s="179">
        <v>951</v>
      </c>
      <c r="C200" s="82" t="s">
        <v>157</v>
      </c>
      <c r="D200" s="82" t="s">
        <v>383</v>
      </c>
      <c r="E200" s="82" t="s">
        <v>470</v>
      </c>
      <c r="F200" s="82" t="s">
        <v>409</v>
      </c>
      <c r="G200" s="188">
        <f t="shared" si="11"/>
        <v>0</v>
      </c>
      <c r="H200" s="275">
        <f t="shared" si="15"/>
        <v>0</v>
      </c>
      <c r="I200" s="275">
        <f t="shared" si="15"/>
        <v>0</v>
      </c>
    </row>
    <row r="201" spans="1:9" ht="16.5" customHeight="1" hidden="1">
      <c r="A201" s="42" t="s">
        <v>192</v>
      </c>
      <c r="B201" s="179">
        <v>951</v>
      </c>
      <c r="C201" s="82" t="s">
        <v>157</v>
      </c>
      <c r="D201" s="82" t="s">
        <v>383</v>
      </c>
      <c r="E201" s="82" t="s">
        <v>470</v>
      </c>
      <c r="F201" s="82" t="s">
        <v>193</v>
      </c>
      <c r="G201" s="188">
        <f t="shared" si="11"/>
        <v>0</v>
      </c>
      <c r="H201" s="275">
        <f t="shared" si="15"/>
        <v>0</v>
      </c>
      <c r="I201" s="275">
        <f t="shared" si="15"/>
        <v>0</v>
      </c>
    </row>
    <row r="202" spans="1:9" ht="48" customHeight="1" hidden="1">
      <c r="A202" s="42" t="s">
        <v>712</v>
      </c>
      <c r="B202" s="179">
        <v>951</v>
      </c>
      <c r="C202" s="82" t="s">
        <v>157</v>
      </c>
      <c r="D202" s="82" t="s">
        <v>383</v>
      </c>
      <c r="E202" s="82" t="s">
        <v>470</v>
      </c>
      <c r="F202" s="82" t="s">
        <v>387</v>
      </c>
      <c r="G202" s="188">
        <f t="shared" si="11"/>
        <v>0</v>
      </c>
      <c r="H202" s="275">
        <f>100-100</f>
        <v>0</v>
      </c>
      <c r="I202" s="275"/>
    </row>
    <row r="203" spans="1:9" ht="15" hidden="1">
      <c r="A203" s="241"/>
      <c r="B203" s="469"/>
      <c r="C203" s="470"/>
      <c r="D203" s="470"/>
      <c r="E203" s="470"/>
      <c r="F203" s="470"/>
      <c r="G203" s="308"/>
      <c r="H203" s="308"/>
      <c r="I203" s="308"/>
    </row>
    <row r="204" spans="1:9" ht="15" hidden="1">
      <c r="A204" s="558"/>
      <c r="B204" s="471"/>
      <c r="C204" s="472"/>
      <c r="D204" s="472"/>
      <c r="E204" s="472"/>
      <c r="F204" s="472"/>
      <c r="G204" s="309"/>
      <c r="H204" s="310"/>
      <c r="I204" s="310"/>
    </row>
    <row r="205" spans="1:9" ht="15" hidden="1">
      <c r="A205" s="558"/>
      <c r="B205" s="471"/>
      <c r="C205" s="472"/>
      <c r="D205" s="472"/>
      <c r="E205" s="472"/>
      <c r="F205" s="472"/>
      <c r="G205" s="309"/>
      <c r="H205" s="310"/>
      <c r="I205" s="310"/>
    </row>
    <row r="206" spans="1:9" ht="29.25" customHeight="1">
      <c r="A206" s="240" t="s">
        <v>388</v>
      </c>
      <c r="B206" s="456">
        <v>951</v>
      </c>
      <c r="C206" s="465" t="s">
        <v>389</v>
      </c>
      <c r="D206" s="465" t="s">
        <v>147</v>
      </c>
      <c r="E206" s="465" t="s">
        <v>320</v>
      </c>
      <c r="F206" s="465" t="s">
        <v>409</v>
      </c>
      <c r="G206" s="249">
        <f>H206+I206</f>
        <v>10354.500259999999</v>
      </c>
      <c r="H206" s="306">
        <f>H207+H243+H231</f>
        <v>7489.531999999999</v>
      </c>
      <c r="I206" s="306">
        <f>I207+I243+I231</f>
        <v>2864.96826</v>
      </c>
    </row>
    <row r="207" spans="1:9" ht="15">
      <c r="A207" s="357" t="s">
        <v>362</v>
      </c>
      <c r="B207" s="463">
        <v>951</v>
      </c>
      <c r="C207" s="358" t="s">
        <v>389</v>
      </c>
      <c r="D207" s="358" t="s">
        <v>148</v>
      </c>
      <c r="E207" s="358" t="s">
        <v>320</v>
      </c>
      <c r="F207" s="358" t="s">
        <v>409</v>
      </c>
      <c r="G207" s="359">
        <f t="shared" si="11"/>
        <v>4160.33102</v>
      </c>
      <c r="H207" s="359">
        <f>H208+H212+H215+H218+H223+H228</f>
        <v>1386.3999999999999</v>
      </c>
      <c r="I207" s="359">
        <f>I208+I218</f>
        <v>2773.93102</v>
      </c>
    </row>
    <row r="208" spans="1:9" ht="17.25" customHeight="1">
      <c r="A208" s="42" t="s">
        <v>363</v>
      </c>
      <c r="B208" s="43">
        <v>951</v>
      </c>
      <c r="C208" s="82" t="s">
        <v>389</v>
      </c>
      <c r="D208" s="82" t="s">
        <v>148</v>
      </c>
      <c r="E208" s="66" t="s">
        <v>24</v>
      </c>
      <c r="F208" s="82" t="s">
        <v>409</v>
      </c>
      <c r="G208" s="188">
        <f>H208+I208</f>
        <v>503.9</v>
      </c>
      <c r="H208" s="188">
        <f>H209</f>
        <v>503.9</v>
      </c>
      <c r="I208" s="188">
        <f aca="true" t="shared" si="16" ref="H208:I210">I209</f>
        <v>0</v>
      </c>
    </row>
    <row r="209" spans="1:9" ht="30">
      <c r="A209" s="35" t="s">
        <v>571</v>
      </c>
      <c r="B209" s="43">
        <v>951</v>
      </c>
      <c r="C209" s="66" t="s">
        <v>389</v>
      </c>
      <c r="D209" s="66" t="s">
        <v>148</v>
      </c>
      <c r="E209" s="66" t="s">
        <v>24</v>
      </c>
      <c r="F209" s="66" t="s">
        <v>409</v>
      </c>
      <c r="G209" s="188">
        <f t="shared" si="11"/>
        <v>503.9</v>
      </c>
      <c r="H209" s="188">
        <f t="shared" si="16"/>
        <v>503.9</v>
      </c>
      <c r="I209" s="188">
        <f t="shared" si="16"/>
        <v>0</v>
      </c>
    </row>
    <row r="210" spans="1:9" ht="30" customHeight="1">
      <c r="A210" s="35" t="s">
        <v>187</v>
      </c>
      <c r="B210" s="43">
        <v>951</v>
      </c>
      <c r="C210" s="66" t="s">
        <v>389</v>
      </c>
      <c r="D210" s="66" t="s">
        <v>148</v>
      </c>
      <c r="E210" s="66" t="s">
        <v>24</v>
      </c>
      <c r="F210" s="66" t="s">
        <v>155</v>
      </c>
      <c r="G210" s="188">
        <f t="shared" si="11"/>
        <v>503.9</v>
      </c>
      <c r="H210" s="188">
        <f t="shared" si="16"/>
        <v>503.9</v>
      </c>
      <c r="I210" s="188">
        <f t="shared" si="16"/>
        <v>0</v>
      </c>
    </row>
    <row r="211" spans="1:9" ht="43.5" customHeight="1">
      <c r="A211" s="84" t="s">
        <v>188</v>
      </c>
      <c r="B211" s="43">
        <v>951</v>
      </c>
      <c r="C211" s="66" t="s">
        <v>389</v>
      </c>
      <c r="D211" s="66" t="s">
        <v>148</v>
      </c>
      <c r="E211" s="66" t="s">
        <v>24</v>
      </c>
      <c r="F211" s="66" t="s">
        <v>189</v>
      </c>
      <c r="G211" s="188">
        <f t="shared" si="11"/>
        <v>503.9</v>
      </c>
      <c r="H211" s="188">
        <v>503.9</v>
      </c>
      <c r="I211" s="188"/>
    </row>
    <row r="212" spans="1:9" ht="30">
      <c r="A212" s="35" t="s">
        <v>490</v>
      </c>
      <c r="B212" s="43">
        <v>951</v>
      </c>
      <c r="C212" s="66" t="s">
        <v>389</v>
      </c>
      <c r="D212" s="66" t="s">
        <v>148</v>
      </c>
      <c r="E212" s="66" t="s">
        <v>92</v>
      </c>
      <c r="F212" s="66" t="s">
        <v>409</v>
      </c>
      <c r="G212" s="188">
        <f t="shared" si="11"/>
        <v>670.9</v>
      </c>
      <c r="H212" s="188">
        <f>H213</f>
        <v>670.9</v>
      </c>
      <c r="I212" s="188"/>
    </row>
    <row r="213" spans="1:9" ht="30">
      <c r="A213" s="35" t="s">
        <v>187</v>
      </c>
      <c r="B213" s="43">
        <v>951</v>
      </c>
      <c r="C213" s="66" t="s">
        <v>389</v>
      </c>
      <c r="D213" s="66" t="s">
        <v>148</v>
      </c>
      <c r="E213" s="66" t="s">
        <v>92</v>
      </c>
      <c r="F213" s="66" t="s">
        <v>155</v>
      </c>
      <c r="G213" s="188">
        <f t="shared" si="11"/>
        <v>670.9</v>
      </c>
      <c r="H213" s="188">
        <f>H214</f>
        <v>670.9</v>
      </c>
      <c r="I213" s="188"/>
    </row>
    <row r="214" spans="1:9" ht="45">
      <c r="A214" s="84" t="s">
        <v>188</v>
      </c>
      <c r="B214" s="43">
        <v>951</v>
      </c>
      <c r="C214" s="66" t="s">
        <v>389</v>
      </c>
      <c r="D214" s="66" t="s">
        <v>148</v>
      </c>
      <c r="E214" s="66" t="s">
        <v>92</v>
      </c>
      <c r="F214" s="66" t="s">
        <v>189</v>
      </c>
      <c r="G214" s="188">
        <f t="shared" si="11"/>
        <v>670.9</v>
      </c>
      <c r="H214" s="188">
        <f>655.9+15</f>
        <v>670.9</v>
      </c>
      <c r="I214" s="188"/>
    </row>
    <row r="215" spans="1:9" ht="45" hidden="1">
      <c r="A215" s="111" t="s">
        <v>755</v>
      </c>
      <c r="B215" s="175">
        <v>951</v>
      </c>
      <c r="C215" s="115" t="s">
        <v>389</v>
      </c>
      <c r="D215" s="115" t="s">
        <v>148</v>
      </c>
      <c r="E215" s="115" t="s">
        <v>756</v>
      </c>
      <c r="F215" s="115" t="s">
        <v>409</v>
      </c>
      <c r="G215" s="218">
        <f t="shared" si="11"/>
        <v>0</v>
      </c>
      <c r="H215" s="218">
        <f>H216</f>
        <v>0</v>
      </c>
      <c r="I215" s="188"/>
    </row>
    <row r="216" spans="1:9" ht="30" hidden="1">
      <c r="A216" s="35" t="s">
        <v>187</v>
      </c>
      <c r="B216" s="43">
        <v>951</v>
      </c>
      <c r="C216" s="66" t="s">
        <v>389</v>
      </c>
      <c r="D216" s="66" t="s">
        <v>148</v>
      </c>
      <c r="E216" s="66" t="s">
        <v>756</v>
      </c>
      <c r="F216" s="66" t="s">
        <v>155</v>
      </c>
      <c r="G216" s="188">
        <f t="shared" si="11"/>
        <v>0</v>
      </c>
      <c r="H216" s="188">
        <f>H217</f>
        <v>0</v>
      </c>
      <c r="I216" s="188"/>
    </row>
    <row r="217" spans="1:9" ht="45" hidden="1">
      <c r="A217" s="84" t="s">
        <v>188</v>
      </c>
      <c r="B217" s="43">
        <v>951</v>
      </c>
      <c r="C217" s="66" t="s">
        <v>389</v>
      </c>
      <c r="D217" s="66" t="s">
        <v>148</v>
      </c>
      <c r="E217" s="66" t="s">
        <v>756</v>
      </c>
      <c r="F217" s="66" t="s">
        <v>189</v>
      </c>
      <c r="G217" s="188">
        <f t="shared" si="11"/>
        <v>0</v>
      </c>
      <c r="H217" s="350">
        <v>0</v>
      </c>
      <c r="I217" s="188"/>
    </row>
    <row r="218" spans="1:9" ht="69.75" customHeight="1">
      <c r="A218" s="377" t="s">
        <v>572</v>
      </c>
      <c r="B218" s="462" t="s">
        <v>176</v>
      </c>
      <c r="C218" s="365" t="s">
        <v>389</v>
      </c>
      <c r="D218" s="365" t="s">
        <v>148</v>
      </c>
      <c r="E218" s="365" t="s">
        <v>573</v>
      </c>
      <c r="F218" s="365" t="s">
        <v>409</v>
      </c>
      <c r="G218" s="364">
        <f t="shared" si="11"/>
        <v>2803.93102</v>
      </c>
      <c r="H218" s="364">
        <f>H219</f>
        <v>30</v>
      </c>
      <c r="I218" s="364">
        <f>I219</f>
        <v>2773.93102</v>
      </c>
    </row>
    <row r="219" spans="1:9" ht="60">
      <c r="A219" s="84" t="s">
        <v>574</v>
      </c>
      <c r="B219" s="43" t="s">
        <v>176</v>
      </c>
      <c r="C219" s="66" t="s">
        <v>389</v>
      </c>
      <c r="D219" s="66" t="s">
        <v>148</v>
      </c>
      <c r="E219" s="66" t="s">
        <v>573</v>
      </c>
      <c r="F219" s="66" t="s">
        <v>409</v>
      </c>
      <c r="G219" s="188">
        <f t="shared" si="11"/>
        <v>2803.93102</v>
      </c>
      <c r="H219" s="188">
        <f>H220</f>
        <v>30</v>
      </c>
      <c r="I219" s="188">
        <f>I220</f>
        <v>2773.93102</v>
      </c>
    </row>
    <row r="220" spans="1:9" ht="15">
      <c r="A220" s="35" t="s">
        <v>192</v>
      </c>
      <c r="B220" s="43" t="s">
        <v>176</v>
      </c>
      <c r="C220" s="66" t="s">
        <v>389</v>
      </c>
      <c r="D220" s="66" t="s">
        <v>148</v>
      </c>
      <c r="E220" s="66" t="s">
        <v>573</v>
      </c>
      <c r="F220" s="66" t="s">
        <v>193</v>
      </c>
      <c r="G220" s="188">
        <f t="shared" si="11"/>
        <v>2803.93102</v>
      </c>
      <c r="H220" s="188">
        <f>H222</f>
        <v>30</v>
      </c>
      <c r="I220" s="188">
        <f>I221</f>
        <v>2773.93102</v>
      </c>
    </row>
    <row r="221" spans="1:9" ht="41.25" customHeight="1">
      <c r="A221" s="35" t="s">
        <v>715</v>
      </c>
      <c r="B221" s="43" t="s">
        <v>176</v>
      </c>
      <c r="C221" s="66" t="s">
        <v>389</v>
      </c>
      <c r="D221" s="66" t="s">
        <v>148</v>
      </c>
      <c r="E221" s="66" t="s">
        <v>575</v>
      </c>
      <c r="F221" s="66" t="s">
        <v>458</v>
      </c>
      <c r="G221" s="188">
        <f t="shared" si="11"/>
        <v>2773.93102</v>
      </c>
      <c r="H221" s="188"/>
      <c r="I221" s="188">
        <f>1382.48629+1391.44473</f>
        <v>2773.93102</v>
      </c>
    </row>
    <row r="222" spans="1:9" ht="43.5" customHeight="1">
      <c r="A222" s="35" t="s">
        <v>716</v>
      </c>
      <c r="B222" s="43" t="s">
        <v>176</v>
      </c>
      <c r="C222" s="66" t="s">
        <v>389</v>
      </c>
      <c r="D222" s="66" t="s">
        <v>148</v>
      </c>
      <c r="E222" s="66" t="s">
        <v>743</v>
      </c>
      <c r="F222" s="66" t="s">
        <v>458</v>
      </c>
      <c r="G222" s="188">
        <f t="shared" si="11"/>
        <v>30</v>
      </c>
      <c r="H222" s="188">
        <f>20+10</f>
        <v>30</v>
      </c>
      <c r="I222" s="188"/>
    </row>
    <row r="223" spans="1:9" ht="33" customHeight="1">
      <c r="A223" s="111" t="s">
        <v>149</v>
      </c>
      <c r="B223" s="43" t="s">
        <v>176</v>
      </c>
      <c r="C223" s="66" t="s">
        <v>389</v>
      </c>
      <c r="D223" s="66" t="s">
        <v>148</v>
      </c>
      <c r="E223" s="115" t="s">
        <v>10</v>
      </c>
      <c r="F223" s="115" t="s">
        <v>409</v>
      </c>
      <c r="G223" s="218">
        <f t="shared" si="11"/>
        <v>100</v>
      </c>
      <c r="H223" s="218">
        <f>H224</f>
        <v>100</v>
      </c>
      <c r="I223" s="188"/>
    </row>
    <row r="224" spans="1:9" ht="30.75" customHeight="1">
      <c r="A224" s="84" t="s">
        <v>150</v>
      </c>
      <c r="B224" s="43" t="s">
        <v>176</v>
      </c>
      <c r="C224" s="66" t="s">
        <v>389</v>
      </c>
      <c r="D224" s="66" t="s">
        <v>148</v>
      </c>
      <c r="E224" s="66" t="s">
        <v>11</v>
      </c>
      <c r="F224" s="66" t="s">
        <v>409</v>
      </c>
      <c r="G224" s="188">
        <f t="shared" si="11"/>
        <v>100</v>
      </c>
      <c r="H224" s="188">
        <f>H225</f>
        <v>100</v>
      </c>
      <c r="I224" s="188"/>
    </row>
    <row r="225" spans="1:9" ht="105">
      <c r="A225" s="176" t="s">
        <v>576</v>
      </c>
      <c r="B225" s="200" t="s">
        <v>176</v>
      </c>
      <c r="C225" s="174" t="s">
        <v>389</v>
      </c>
      <c r="D225" s="174" t="s">
        <v>148</v>
      </c>
      <c r="E225" s="174" t="s">
        <v>577</v>
      </c>
      <c r="F225" s="174" t="s">
        <v>409</v>
      </c>
      <c r="G225" s="201">
        <f t="shared" si="11"/>
        <v>100</v>
      </c>
      <c r="H225" s="201">
        <f>H226</f>
        <v>100</v>
      </c>
      <c r="I225" s="201"/>
    </row>
    <row r="226" spans="1:9" ht="30">
      <c r="A226" s="35" t="s">
        <v>187</v>
      </c>
      <c r="B226" s="43" t="s">
        <v>176</v>
      </c>
      <c r="C226" s="66" t="s">
        <v>389</v>
      </c>
      <c r="D226" s="66" t="s">
        <v>148</v>
      </c>
      <c r="E226" s="66" t="s">
        <v>577</v>
      </c>
      <c r="F226" s="66" t="s">
        <v>155</v>
      </c>
      <c r="G226" s="188">
        <f t="shared" si="11"/>
        <v>100</v>
      </c>
      <c r="H226" s="188">
        <f>H227</f>
        <v>100</v>
      </c>
      <c r="I226" s="188"/>
    </row>
    <row r="227" spans="1:9" ht="45" customHeight="1">
      <c r="A227" s="84" t="s">
        <v>188</v>
      </c>
      <c r="B227" s="43" t="s">
        <v>176</v>
      </c>
      <c r="C227" s="66" t="s">
        <v>389</v>
      </c>
      <c r="D227" s="66" t="s">
        <v>148</v>
      </c>
      <c r="E227" s="66" t="s">
        <v>577</v>
      </c>
      <c r="F227" s="66" t="s">
        <v>189</v>
      </c>
      <c r="G227" s="188">
        <f t="shared" si="11"/>
        <v>100</v>
      </c>
      <c r="H227" s="188">
        <f>250-150</f>
        <v>100</v>
      </c>
      <c r="I227" s="188"/>
    </row>
    <row r="228" spans="1:9" ht="57.75" customHeight="1">
      <c r="A228" s="381" t="s">
        <v>529</v>
      </c>
      <c r="B228" s="462" t="s">
        <v>176</v>
      </c>
      <c r="C228" s="365" t="s">
        <v>389</v>
      </c>
      <c r="D228" s="365" t="s">
        <v>148</v>
      </c>
      <c r="E228" s="365" t="s">
        <v>320</v>
      </c>
      <c r="F228" s="365" t="s">
        <v>409</v>
      </c>
      <c r="G228" s="364">
        <f t="shared" si="11"/>
        <v>81.6</v>
      </c>
      <c r="H228" s="364">
        <f>H229</f>
        <v>81.6</v>
      </c>
      <c r="I228" s="364"/>
    </row>
    <row r="229" spans="1:9" ht="27.75" customHeight="1">
      <c r="A229" s="178" t="s">
        <v>187</v>
      </c>
      <c r="B229" s="179" t="s">
        <v>176</v>
      </c>
      <c r="C229" s="46" t="s">
        <v>389</v>
      </c>
      <c r="D229" s="46" t="s">
        <v>148</v>
      </c>
      <c r="E229" s="66" t="s">
        <v>667</v>
      </c>
      <c r="F229" s="66" t="s">
        <v>155</v>
      </c>
      <c r="G229" s="275">
        <f t="shared" si="11"/>
        <v>81.6</v>
      </c>
      <c r="H229" s="275">
        <f>H230</f>
        <v>81.6</v>
      </c>
      <c r="I229" s="188"/>
    </row>
    <row r="230" spans="1:9" ht="42" customHeight="1">
      <c r="A230" s="180" t="s">
        <v>188</v>
      </c>
      <c r="B230" s="179" t="s">
        <v>176</v>
      </c>
      <c r="C230" s="46" t="s">
        <v>389</v>
      </c>
      <c r="D230" s="46" t="s">
        <v>148</v>
      </c>
      <c r="E230" s="66" t="s">
        <v>667</v>
      </c>
      <c r="F230" s="66" t="s">
        <v>189</v>
      </c>
      <c r="G230" s="275">
        <f t="shared" si="11"/>
        <v>81.6</v>
      </c>
      <c r="H230" s="275">
        <f>31.6+50</f>
        <v>81.6</v>
      </c>
      <c r="I230" s="188"/>
    </row>
    <row r="231" spans="1:9" ht="15">
      <c r="A231" s="382" t="s">
        <v>393</v>
      </c>
      <c r="B231" s="463">
        <v>951</v>
      </c>
      <c r="C231" s="358" t="s">
        <v>389</v>
      </c>
      <c r="D231" s="358" t="s">
        <v>153</v>
      </c>
      <c r="E231" s="358" t="s">
        <v>320</v>
      </c>
      <c r="F231" s="358" t="s">
        <v>409</v>
      </c>
      <c r="G231" s="359">
        <f>H231+I231</f>
        <v>2446.344</v>
      </c>
      <c r="H231" s="359">
        <f>H232+H238</f>
        <v>2357.002</v>
      </c>
      <c r="I231" s="359">
        <f>I232+I238+I235</f>
        <v>89.342</v>
      </c>
    </row>
    <row r="232" spans="1:9" ht="15">
      <c r="A232" s="84" t="s">
        <v>394</v>
      </c>
      <c r="B232" s="43">
        <v>951</v>
      </c>
      <c r="C232" s="66" t="s">
        <v>389</v>
      </c>
      <c r="D232" s="66" t="s">
        <v>153</v>
      </c>
      <c r="E232" s="66" t="s">
        <v>25</v>
      </c>
      <c r="F232" s="66" t="s">
        <v>409</v>
      </c>
      <c r="G232" s="188">
        <f>H232+I232</f>
        <v>75</v>
      </c>
      <c r="H232" s="188">
        <f>H233</f>
        <v>75</v>
      </c>
      <c r="I232" s="188">
        <f>I233</f>
        <v>0</v>
      </c>
    </row>
    <row r="233" spans="1:9" ht="30">
      <c r="A233" s="35" t="s">
        <v>187</v>
      </c>
      <c r="B233" s="43">
        <v>951</v>
      </c>
      <c r="C233" s="66" t="s">
        <v>389</v>
      </c>
      <c r="D233" s="66" t="s">
        <v>153</v>
      </c>
      <c r="E233" s="66" t="s">
        <v>25</v>
      </c>
      <c r="F233" s="66" t="s">
        <v>155</v>
      </c>
      <c r="G233" s="188">
        <f t="shared" si="11"/>
        <v>75</v>
      </c>
      <c r="H233" s="188">
        <f>H234</f>
        <v>75</v>
      </c>
      <c r="I233" s="188">
        <f>I234</f>
        <v>0</v>
      </c>
    </row>
    <row r="234" spans="1:9" ht="45">
      <c r="A234" s="84" t="s">
        <v>188</v>
      </c>
      <c r="B234" s="43">
        <v>951</v>
      </c>
      <c r="C234" s="66" t="s">
        <v>389</v>
      </c>
      <c r="D234" s="66" t="s">
        <v>153</v>
      </c>
      <c r="E234" s="66" t="s">
        <v>25</v>
      </c>
      <c r="F234" s="66" t="s">
        <v>189</v>
      </c>
      <c r="G234" s="188">
        <f t="shared" si="11"/>
        <v>75</v>
      </c>
      <c r="H234" s="188">
        <f>90-15</f>
        <v>75</v>
      </c>
      <c r="I234" s="188"/>
    </row>
    <row r="235" spans="1:9" ht="71.25" customHeight="1">
      <c r="A235" s="84" t="s">
        <v>937</v>
      </c>
      <c r="B235" s="43" t="s">
        <v>176</v>
      </c>
      <c r="C235" s="66" t="s">
        <v>389</v>
      </c>
      <c r="D235" s="66" t="s">
        <v>153</v>
      </c>
      <c r="E235" s="66" t="s">
        <v>933</v>
      </c>
      <c r="F235" s="66" t="s">
        <v>387</v>
      </c>
      <c r="G235" s="188">
        <f>H235+I235</f>
        <v>89.342</v>
      </c>
      <c r="H235" s="188">
        <f>H236</f>
        <v>0</v>
      </c>
      <c r="I235" s="188">
        <f>I236</f>
        <v>89.342</v>
      </c>
    </row>
    <row r="236" spans="1:9" ht="59.25">
      <c r="A236" s="35" t="s">
        <v>715</v>
      </c>
      <c r="B236" s="43" t="s">
        <v>176</v>
      </c>
      <c r="C236" s="66" t="s">
        <v>389</v>
      </c>
      <c r="D236" s="66" t="s">
        <v>153</v>
      </c>
      <c r="E236" s="66" t="s">
        <v>933</v>
      </c>
      <c r="F236" s="66" t="s">
        <v>458</v>
      </c>
      <c r="G236" s="188">
        <f>H236+I236</f>
        <v>89.342</v>
      </c>
      <c r="H236" s="188">
        <v>0</v>
      </c>
      <c r="I236" s="188">
        <v>89.342</v>
      </c>
    </row>
    <row r="237" spans="1:9" ht="15" hidden="1">
      <c r="A237" s="84"/>
      <c r="B237" s="43"/>
      <c r="C237" s="66"/>
      <c r="D237" s="66"/>
      <c r="E237" s="66"/>
      <c r="F237" s="66"/>
      <c r="G237" s="188"/>
      <c r="H237" s="188"/>
      <c r="I237" s="188"/>
    </row>
    <row r="238" spans="1:9" ht="15">
      <c r="A238" s="84" t="s">
        <v>395</v>
      </c>
      <c r="B238" s="43">
        <v>951</v>
      </c>
      <c r="C238" s="66" t="s">
        <v>389</v>
      </c>
      <c r="D238" s="66" t="s">
        <v>153</v>
      </c>
      <c r="E238" s="66" t="s">
        <v>26</v>
      </c>
      <c r="F238" s="66" t="s">
        <v>409</v>
      </c>
      <c r="G238" s="188">
        <f t="shared" si="11"/>
        <v>2282.002</v>
      </c>
      <c r="H238" s="188">
        <f>H239+H241</f>
        <v>2282.002</v>
      </c>
      <c r="I238" s="188">
        <f>I239</f>
        <v>0</v>
      </c>
    </row>
    <row r="239" spans="1:9" ht="30">
      <c r="A239" s="35" t="s">
        <v>187</v>
      </c>
      <c r="B239" s="43">
        <v>951</v>
      </c>
      <c r="C239" s="66" t="s">
        <v>389</v>
      </c>
      <c r="D239" s="66" t="s">
        <v>153</v>
      </c>
      <c r="E239" s="66" t="s">
        <v>26</v>
      </c>
      <c r="F239" s="66" t="s">
        <v>155</v>
      </c>
      <c r="G239" s="188">
        <f t="shared" si="11"/>
        <v>1985.404</v>
      </c>
      <c r="H239" s="188">
        <f>H240</f>
        <v>1985.404</v>
      </c>
      <c r="I239" s="188">
        <f>I240</f>
        <v>0</v>
      </c>
    </row>
    <row r="240" spans="1:9" ht="45">
      <c r="A240" s="84" t="s">
        <v>188</v>
      </c>
      <c r="B240" s="43">
        <v>951</v>
      </c>
      <c r="C240" s="66" t="s">
        <v>389</v>
      </c>
      <c r="D240" s="66" t="s">
        <v>153</v>
      </c>
      <c r="E240" s="66" t="s">
        <v>26</v>
      </c>
      <c r="F240" s="66" t="s">
        <v>189</v>
      </c>
      <c r="G240" s="188">
        <f t="shared" si="11"/>
        <v>1985.404</v>
      </c>
      <c r="H240" s="188">
        <f>100+1950.4+0.004-65</f>
        <v>1985.404</v>
      </c>
      <c r="I240" s="188"/>
    </row>
    <row r="241" spans="1:9" ht="45">
      <c r="A241" s="84" t="s">
        <v>599</v>
      </c>
      <c r="B241" s="43" t="s">
        <v>176</v>
      </c>
      <c r="C241" s="66" t="s">
        <v>389</v>
      </c>
      <c r="D241" s="66" t="s">
        <v>153</v>
      </c>
      <c r="E241" s="66" t="s">
        <v>26</v>
      </c>
      <c r="F241" s="66" t="s">
        <v>600</v>
      </c>
      <c r="G241" s="188">
        <f>H241</f>
        <v>296.598</v>
      </c>
      <c r="H241" s="188">
        <f>H242</f>
        <v>296.598</v>
      </c>
      <c r="I241" s="188"/>
    </row>
    <row r="242" spans="1:9" ht="15">
      <c r="A242" s="84" t="s">
        <v>601</v>
      </c>
      <c r="B242" s="43" t="s">
        <v>176</v>
      </c>
      <c r="C242" s="66" t="s">
        <v>389</v>
      </c>
      <c r="D242" s="66" t="s">
        <v>153</v>
      </c>
      <c r="E242" s="66" t="s">
        <v>26</v>
      </c>
      <c r="F242" s="66" t="s">
        <v>602</v>
      </c>
      <c r="G242" s="188">
        <f>H242</f>
        <v>296.598</v>
      </c>
      <c r="H242" s="188">
        <v>296.598</v>
      </c>
      <c r="I242" s="188"/>
    </row>
    <row r="243" spans="1:9" ht="30">
      <c r="A243" s="35" t="s">
        <v>366</v>
      </c>
      <c r="B243" s="43">
        <v>951</v>
      </c>
      <c r="C243" s="66" t="s">
        <v>389</v>
      </c>
      <c r="D243" s="66" t="s">
        <v>389</v>
      </c>
      <c r="E243" s="66" t="s">
        <v>320</v>
      </c>
      <c r="F243" s="66" t="s">
        <v>409</v>
      </c>
      <c r="G243" s="188">
        <f t="shared" si="11"/>
        <v>3747.82524</v>
      </c>
      <c r="H243" s="188">
        <f aca="true" t="shared" si="17" ref="H243:I245">H244</f>
        <v>3746.13</v>
      </c>
      <c r="I243" s="188">
        <f>I244+I251</f>
        <v>1.69524</v>
      </c>
    </row>
    <row r="244" spans="1:9" ht="30">
      <c r="A244" s="42" t="s">
        <v>149</v>
      </c>
      <c r="B244" s="43">
        <v>951</v>
      </c>
      <c r="C244" s="82" t="s">
        <v>389</v>
      </c>
      <c r="D244" s="82" t="s">
        <v>389</v>
      </c>
      <c r="E244" s="82" t="s">
        <v>10</v>
      </c>
      <c r="F244" s="82" t="s">
        <v>409</v>
      </c>
      <c r="G244" s="188">
        <f t="shared" si="11"/>
        <v>3746.13</v>
      </c>
      <c r="H244" s="188">
        <f t="shared" si="17"/>
        <v>3746.13</v>
      </c>
      <c r="I244" s="188">
        <f t="shared" si="17"/>
        <v>0</v>
      </c>
    </row>
    <row r="245" spans="1:9" ht="45">
      <c r="A245" s="42" t="s">
        <v>150</v>
      </c>
      <c r="B245" s="43">
        <v>951</v>
      </c>
      <c r="C245" s="82" t="s">
        <v>389</v>
      </c>
      <c r="D245" s="82" t="s">
        <v>389</v>
      </c>
      <c r="E245" s="82" t="s">
        <v>11</v>
      </c>
      <c r="F245" s="82" t="s">
        <v>409</v>
      </c>
      <c r="G245" s="188">
        <f t="shared" si="11"/>
        <v>3746.13</v>
      </c>
      <c r="H245" s="188">
        <f t="shared" si="17"/>
        <v>3746.13</v>
      </c>
      <c r="I245" s="188">
        <f t="shared" si="17"/>
        <v>0</v>
      </c>
    </row>
    <row r="246" spans="1:11" ht="45">
      <c r="A246" s="42" t="s">
        <v>390</v>
      </c>
      <c r="B246" s="43">
        <v>951</v>
      </c>
      <c r="C246" s="82" t="s">
        <v>389</v>
      </c>
      <c r="D246" s="82" t="s">
        <v>389</v>
      </c>
      <c r="E246" s="82" t="s">
        <v>14</v>
      </c>
      <c r="F246" s="82" t="s">
        <v>409</v>
      </c>
      <c r="G246" s="188">
        <f t="shared" si="11"/>
        <v>3746.13</v>
      </c>
      <c r="H246" s="188">
        <f>H247+H249</f>
        <v>3746.13</v>
      </c>
      <c r="I246" s="188">
        <f>I247+I249</f>
        <v>0</v>
      </c>
      <c r="J246" s="555"/>
      <c r="K246" s="554"/>
    </row>
    <row r="247" spans="1:9" ht="90">
      <c r="A247" s="42" t="s">
        <v>184</v>
      </c>
      <c r="B247" s="43">
        <v>951</v>
      </c>
      <c r="C247" s="82" t="s">
        <v>389</v>
      </c>
      <c r="D247" s="82" t="s">
        <v>389</v>
      </c>
      <c r="E247" s="82" t="s">
        <v>14</v>
      </c>
      <c r="F247" s="82" t="s">
        <v>151</v>
      </c>
      <c r="G247" s="188">
        <f t="shared" si="11"/>
        <v>3582.5</v>
      </c>
      <c r="H247" s="188">
        <f>H248</f>
        <v>3582.5</v>
      </c>
      <c r="I247" s="188">
        <f>I248</f>
        <v>0</v>
      </c>
    </row>
    <row r="248" spans="1:9" ht="30">
      <c r="A248" s="231" t="s">
        <v>186</v>
      </c>
      <c r="B248" s="43">
        <v>951</v>
      </c>
      <c r="C248" s="82" t="s">
        <v>389</v>
      </c>
      <c r="D248" s="82" t="s">
        <v>389</v>
      </c>
      <c r="E248" s="82" t="s">
        <v>14</v>
      </c>
      <c r="F248" s="82" t="s">
        <v>185</v>
      </c>
      <c r="G248" s="188">
        <f t="shared" si="11"/>
        <v>3582.5</v>
      </c>
      <c r="H248" s="188">
        <f>2717+45+820.5</f>
        <v>3582.5</v>
      </c>
      <c r="I248" s="188"/>
    </row>
    <row r="249" spans="1:9" ht="30">
      <c r="A249" s="35" t="s">
        <v>187</v>
      </c>
      <c r="B249" s="43">
        <v>951</v>
      </c>
      <c r="C249" s="82" t="s">
        <v>389</v>
      </c>
      <c r="D249" s="82" t="s">
        <v>389</v>
      </c>
      <c r="E249" s="82" t="s">
        <v>14</v>
      </c>
      <c r="F249" s="82" t="s">
        <v>155</v>
      </c>
      <c r="G249" s="188">
        <f t="shared" si="11"/>
        <v>163.63</v>
      </c>
      <c r="H249" s="188">
        <f>H250</f>
        <v>163.63</v>
      </c>
      <c r="I249" s="188">
        <f>I250</f>
        <v>0</v>
      </c>
    </row>
    <row r="250" spans="1:9" ht="45">
      <c r="A250" s="84" t="s">
        <v>188</v>
      </c>
      <c r="B250" s="43">
        <v>951</v>
      </c>
      <c r="C250" s="82" t="s">
        <v>389</v>
      </c>
      <c r="D250" s="82" t="s">
        <v>389</v>
      </c>
      <c r="E250" s="82" t="s">
        <v>14</v>
      </c>
      <c r="F250" s="82" t="s">
        <v>189</v>
      </c>
      <c r="G250" s="188">
        <f t="shared" si="11"/>
        <v>163.63</v>
      </c>
      <c r="H250" s="188">
        <f>58.63+15+65+25</f>
        <v>163.63</v>
      </c>
      <c r="I250" s="188"/>
    </row>
    <row r="251" spans="1:9" ht="75">
      <c r="A251" s="242" t="s">
        <v>740</v>
      </c>
      <c r="B251" s="459" t="s">
        <v>176</v>
      </c>
      <c r="C251" s="230" t="s">
        <v>389</v>
      </c>
      <c r="D251" s="230" t="s">
        <v>389</v>
      </c>
      <c r="E251" s="230" t="s">
        <v>27</v>
      </c>
      <c r="F251" s="230" t="s">
        <v>409</v>
      </c>
      <c r="G251" s="243">
        <f t="shared" si="11"/>
        <v>1.69524</v>
      </c>
      <c r="H251" s="243"/>
      <c r="I251" s="243">
        <f>I252</f>
        <v>1.69524</v>
      </c>
    </row>
    <row r="252" spans="1:9" ht="83.25" customHeight="1">
      <c r="A252" s="84" t="s">
        <v>364</v>
      </c>
      <c r="B252" s="43" t="s">
        <v>176</v>
      </c>
      <c r="C252" s="82" t="s">
        <v>389</v>
      </c>
      <c r="D252" s="82" t="s">
        <v>389</v>
      </c>
      <c r="E252" s="66" t="s">
        <v>27</v>
      </c>
      <c r="F252" s="82" t="s">
        <v>151</v>
      </c>
      <c r="G252" s="188">
        <f t="shared" si="11"/>
        <v>1.69524</v>
      </c>
      <c r="H252" s="188"/>
      <c r="I252" s="188">
        <f>I253</f>
        <v>1.69524</v>
      </c>
    </row>
    <row r="253" spans="1:9" ht="30">
      <c r="A253" s="84" t="s">
        <v>186</v>
      </c>
      <c r="B253" s="43" t="s">
        <v>176</v>
      </c>
      <c r="C253" s="82" t="s">
        <v>389</v>
      </c>
      <c r="D253" s="82" t="s">
        <v>389</v>
      </c>
      <c r="E253" s="66" t="s">
        <v>27</v>
      </c>
      <c r="F253" s="82" t="s">
        <v>185</v>
      </c>
      <c r="G253" s="188">
        <f t="shared" si="11"/>
        <v>1.69524</v>
      </c>
      <c r="H253" s="188"/>
      <c r="I253" s="188">
        <v>1.69524</v>
      </c>
    </row>
    <row r="254" spans="1:9" ht="30" hidden="1">
      <c r="A254" s="84" t="s">
        <v>187</v>
      </c>
      <c r="B254" s="43" t="s">
        <v>176</v>
      </c>
      <c r="C254" s="82" t="s">
        <v>389</v>
      </c>
      <c r="D254" s="82" t="s">
        <v>389</v>
      </c>
      <c r="E254" s="66" t="s">
        <v>27</v>
      </c>
      <c r="F254" s="82" t="s">
        <v>155</v>
      </c>
      <c r="G254" s="188">
        <f t="shared" si="11"/>
        <v>0</v>
      </c>
      <c r="H254" s="188"/>
      <c r="I254" s="188">
        <f>I255</f>
        <v>0</v>
      </c>
    </row>
    <row r="255" spans="1:9" ht="45" hidden="1">
      <c r="A255" s="84" t="s">
        <v>188</v>
      </c>
      <c r="B255" s="43" t="s">
        <v>176</v>
      </c>
      <c r="C255" s="82" t="s">
        <v>389</v>
      </c>
      <c r="D255" s="82" t="s">
        <v>389</v>
      </c>
      <c r="E255" s="66" t="s">
        <v>27</v>
      </c>
      <c r="F255" s="82" t="s">
        <v>189</v>
      </c>
      <c r="G255" s="188">
        <f t="shared" si="11"/>
        <v>0</v>
      </c>
      <c r="H255" s="188"/>
      <c r="I255" s="188"/>
    </row>
    <row r="256" spans="1:9" ht="14.25">
      <c r="A256" s="225" t="s">
        <v>367</v>
      </c>
      <c r="B256" s="456">
        <v>951</v>
      </c>
      <c r="C256" s="456" t="s">
        <v>392</v>
      </c>
      <c r="D256" s="456" t="s">
        <v>147</v>
      </c>
      <c r="E256" s="456" t="s">
        <v>320</v>
      </c>
      <c r="F256" s="456" t="s">
        <v>409</v>
      </c>
      <c r="G256" s="249">
        <f>I256+H256</f>
        <v>18377.447999999997</v>
      </c>
      <c r="H256" s="306">
        <f>H268+H291+H295+H298</f>
        <v>16511.6</v>
      </c>
      <c r="I256" s="306">
        <f>I268+I291+I295+I298+I305</f>
        <v>1865.848</v>
      </c>
    </row>
    <row r="257" spans="1:9" ht="15" hidden="1">
      <c r="A257" s="244" t="s">
        <v>170</v>
      </c>
      <c r="B257" s="179">
        <v>951</v>
      </c>
      <c r="C257" s="46" t="s">
        <v>392</v>
      </c>
      <c r="D257" s="46" t="s">
        <v>148</v>
      </c>
      <c r="E257" s="179" t="s">
        <v>320</v>
      </c>
      <c r="F257" s="179" t="s">
        <v>409</v>
      </c>
      <c r="G257" s="275">
        <f>H257+I257</f>
        <v>0</v>
      </c>
      <c r="H257" s="275">
        <f>H258</f>
        <v>0</v>
      </c>
      <c r="I257" s="275">
        <f>I258</f>
        <v>0</v>
      </c>
    </row>
    <row r="258" spans="1:9" ht="30" hidden="1">
      <c r="A258" s="245" t="s">
        <v>289</v>
      </c>
      <c r="B258" s="179">
        <v>951</v>
      </c>
      <c r="C258" s="46" t="s">
        <v>392</v>
      </c>
      <c r="D258" s="46" t="s">
        <v>148</v>
      </c>
      <c r="E258" s="46" t="s">
        <v>55</v>
      </c>
      <c r="F258" s="46" t="s">
        <v>409</v>
      </c>
      <c r="G258" s="275">
        <f aca="true" t="shared" si="18" ref="G258:G283">H258+I258</f>
        <v>0</v>
      </c>
      <c r="H258" s="275">
        <f>H259+H262</f>
        <v>0</v>
      </c>
      <c r="I258" s="275">
        <f>I259+I262+I291</f>
        <v>0</v>
      </c>
    </row>
    <row r="259" spans="1:9" ht="30" hidden="1">
      <c r="A259" s="178" t="s">
        <v>213</v>
      </c>
      <c r="B259" s="179" t="s">
        <v>176</v>
      </c>
      <c r="C259" s="46" t="s">
        <v>392</v>
      </c>
      <c r="D259" s="46" t="s">
        <v>148</v>
      </c>
      <c r="E259" s="46" t="s">
        <v>56</v>
      </c>
      <c r="F259" s="46" t="s">
        <v>409</v>
      </c>
      <c r="G259" s="275">
        <f t="shared" si="18"/>
        <v>0</v>
      </c>
      <c r="H259" s="275">
        <f>H260</f>
        <v>0</v>
      </c>
      <c r="I259" s="275"/>
    </row>
    <row r="260" spans="1:9" ht="45" hidden="1">
      <c r="A260" s="246" t="s">
        <v>210</v>
      </c>
      <c r="B260" s="179" t="s">
        <v>176</v>
      </c>
      <c r="C260" s="46" t="s">
        <v>392</v>
      </c>
      <c r="D260" s="46" t="s">
        <v>148</v>
      </c>
      <c r="E260" s="46" t="s">
        <v>56</v>
      </c>
      <c r="F260" s="46" t="s">
        <v>211</v>
      </c>
      <c r="G260" s="275">
        <f t="shared" si="18"/>
        <v>0</v>
      </c>
      <c r="H260" s="275">
        <f>H261</f>
        <v>0</v>
      </c>
      <c r="I260" s="275"/>
    </row>
    <row r="261" spans="1:9" ht="15" hidden="1">
      <c r="A261" s="178" t="s">
        <v>212</v>
      </c>
      <c r="B261" s="179" t="s">
        <v>176</v>
      </c>
      <c r="C261" s="46" t="s">
        <v>392</v>
      </c>
      <c r="D261" s="46" t="s">
        <v>148</v>
      </c>
      <c r="E261" s="46" t="s">
        <v>59</v>
      </c>
      <c r="F261" s="46" t="s">
        <v>287</v>
      </c>
      <c r="G261" s="275">
        <f t="shared" si="18"/>
        <v>0</v>
      </c>
      <c r="H261" s="275"/>
      <c r="I261" s="275"/>
    </row>
    <row r="262" spans="1:9" ht="30" hidden="1">
      <c r="A262" s="178" t="s">
        <v>214</v>
      </c>
      <c r="B262" s="179" t="s">
        <v>176</v>
      </c>
      <c r="C262" s="46" t="s">
        <v>392</v>
      </c>
      <c r="D262" s="46" t="s">
        <v>148</v>
      </c>
      <c r="E262" s="46" t="s">
        <v>56</v>
      </c>
      <c r="F262" s="46" t="s">
        <v>409</v>
      </c>
      <c r="G262" s="275">
        <f t="shared" si="18"/>
        <v>0</v>
      </c>
      <c r="H262" s="275">
        <f>H263</f>
        <v>0</v>
      </c>
      <c r="I262" s="275"/>
    </row>
    <row r="263" spans="1:9" ht="45" hidden="1">
      <c r="A263" s="178" t="s">
        <v>210</v>
      </c>
      <c r="B263" s="179" t="s">
        <v>176</v>
      </c>
      <c r="C263" s="46" t="s">
        <v>392</v>
      </c>
      <c r="D263" s="46" t="s">
        <v>148</v>
      </c>
      <c r="E263" s="46" t="s">
        <v>56</v>
      </c>
      <c r="F263" s="46" t="s">
        <v>211</v>
      </c>
      <c r="G263" s="275">
        <f t="shared" si="18"/>
        <v>0</v>
      </c>
      <c r="H263" s="275">
        <f>H264</f>
        <v>0</v>
      </c>
      <c r="I263" s="275"/>
    </row>
    <row r="264" spans="1:9" ht="15" hidden="1">
      <c r="A264" s="178" t="s">
        <v>212</v>
      </c>
      <c r="B264" s="179">
        <v>951</v>
      </c>
      <c r="C264" s="46" t="s">
        <v>392</v>
      </c>
      <c r="D264" s="46" t="s">
        <v>148</v>
      </c>
      <c r="E264" s="46" t="s">
        <v>60</v>
      </c>
      <c r="F264" s="46" t="s">
        <v>287</v>
      </c>
      <c r="G264" s="275">
        <f t="shared" si="18"/>
        <v>0</v>
      </c>
      <c r="H264" s="275"/>
      <c r="I264" s="275"/>
    </row>
    <row r="265" spans="1:9" ht="60" hidden="1">
      <c r="A265" s="110" t="s">
        <v>487</v>
      </c>
      <c r="B265" s="179" t="s">
        <v>176</v>
      </c>
      <c r="C265" s="46" t="s">
        <v>392</v>
      </c>
      <c r="D265" s="46" t="s">
        <v>392</v>
      </c>
      <c r="E265" s="46" t="s">
        <v>471</v>
      </c>
      <c r="F265" s="46" t="s">
        <v>409</v>
      </c>
      <c r="G265" s="275">
        <f t="shared" si="18"/>
        <v>0</v>
      </c>
      <c r="H265" s="275">
        <f>H266</f>
        <v>0</v>
      </c>
      <c r="I265" s="275"/>
    </row>
    <row r="266" spans="1:9" ht="30" hidden="1">
      <c r="A266" s="35" t="s">
        <v>187</v>
      </c>
      <c r="B266" s="179" t="s">
        <v>176</v>
      </c>
      <c r="C266" s="46" t="s">
        <v>392</v>
      </c>
      <c r="D266" s="46" t="s">
        <v>392</v>
      </c>
      <c r="E266" s="46" t="s">
        <v>472</v>
      </c>
      <c r="F266" s="46" t="s">
        <v>155</v>
      </c>
      <c r="G266" s="275">
        <f t="shared" si="18"/>
        <v>0</v>
      </c>
      <c r="H266" s="275">
        <f>H267</f>
        <v>0</v>
      </c>
      <c r="I266" s="275"/>
    </row>
    <row r="267" spans="1:9" ht="45" hidden="1">
      <c r="A267" s="178" t="s">
        <v>188</v>
      </c>
      <c r="B267" s="179" t="s">
        <v>176</v>
      </c>
      <c r="C267" s="46" t="s">
        <v>392</v>
      </c>
      <c r="D267" s="46" t="s">
        <v>392</v>
      </c>
      <c r="E267" s="46" t="s">
        <v>472</v>
      </c>
      <c r="F267" s="46" t="s">
        <v>189</v>
      </c>
      <c r="G267" s="275">
        <f t="shared" si="18"/>
        <v>0</v>
      </c>
      <c r="H267" s="275">
        <v>0</v>
      </c>
      <c r="I267" s="275"/>
    </row>
    <row r="268" spans="1:9" ht="18.75" customHeight="1">
      <c r="A268" s="371" t="s">
        <v>586</v>
      </c>
      <c r="B268" s="460" t="s">
        <v>176</v>
      </c>
      <c r="C268" s="177" t="s">
        <v>392</v>
      </c>
      <c r="D268" s="177" t="s">
        <v>153</v>
      </c>
      <c r="E268" s="177" t="s">
        <v>320</v>
      </c>
      <c r="F268" s="177" t="s">
        <v>409</v>
      </c>
      <c r="G268" s="311">
        <f t="shared" si="18"/>
        <v>12942.399999999998</v>
      </c>
      <c r="H268" s="311">
        <f>H269+H280+H284</f>
        <v>12942.399999999998</v>
      </c>
      <c r="I268" s="311">
        <f>I269+I280+I284</f>
        <v>0</v>
      </c>
    </row>
    <row r="269" spans="1:9" ht="45">
      <c r="A269" s="172" t="s">
        <v>473</v>
      </c>
      <c r="B269" s="175" t="s">
        <v>176</v>
      </c>
      <c r="C269" s="115" t="s">
        <v>392</v>
      </c>
      <c r="D269" s="115" t="s">
        <v>153</v>
      </c>
      <c r="E269" s="115" t="s">
        <v>320</v>
      </c>
      <c r="F269" s="115" t="s">
        <v>409</v>
      </c>
      <c r="G269" s="218">
        <f t="shared" si="18"/>
        <v>12942.399999999998</v>
      </c>
      <c r="H269" s="218">
        <f>H270</f>
        <v>12942.399999999998</v>
      </c>
      <c r="I269" s="218"/>
    </row>
    <row r="270" spans="1:9" ht="31.5" customHeight="1">
      <c r="A270" s="245" t="s">
        <v>289</v>
      </c>
      <c r="B270" s="179" t="s">
        <v>176</v>
      </c>
      <c r="C270" s="46" t="s">
        <v>392</v>
      </c>
      <c r="D270" s="46" t="s">
        <v>153</v>
      </c>
      <c r="E270" s="46" t="s">
        <v>55</v>
      </c>
      <c r="F270" s="46" t="s">
        <v>409</v>
      </c>
      <c r="G270" s="188">
        <f t="shared" si="18"/>
        <v>12942.399999999998</v>
      </c>
      <c r="H270" s="275">
        <f>H271+H274+H277</f>
        <v>12942.399999999998</v>
      </c>
      <c r="I270" s="275"/>
    </row>
    <row r="271" spans="1:9" ht="30">
      <c r="A271" s="178" t="s">
        <v>887</v>
      </c>
      <c r="B271" s="179" t="s">
        <v>176</v>
      </c>
      <c r="C271" s="46" t="s">
        <v>392</v>
      </c>
      <c r="D271" s="46" t="s">
        <v>153</v>
      </c>
      <c r="E271" s="46" t="s">
        <v>888</v>
      </c>
      <c r="F271" s="46" t="s">
        <v>409</v>
      </c>
      <c r="G271" s="188">
        <f>H271</f>
        <v>1745</v>
      </c>
      <c r="H271" s="275">
        <f>H272</f>
        <v>1745</v>
      </c>
      <c r="I271" s="275"/>
    </row>
    <row r="272" spans="1:9" ht="45">
      <c r="A272" s="178" t="s">
        <v>210</v>
      </c>
      <c r="B272" s="179" t="s">
        <v>176</v>
      </c>
      <c r="C272" s="46" t="s">
        <v>392</v>
      </c>
      <c r="D272" s="46" t="s">
        <v>153</v>
      </c>
      <c r="E272" s="46" t="s">
        <v>888</v>
      </c>
      <c r="F272" s="46" t="s">
        <v>211</v>
      </c>
      <c r="G272" s="188">
        <f>H272</f>
        <v>1745</v>
      </c>
      <c r="H272" s="275">
        <f>H273</f>
        <v>1745</v>
      </c>
      <c r="I272" s="275"/>
    </row>
    <row r="273" spans="1:9" ht="15">
      <c r="A273" s="178" t="s">
        <v>212</v>
      </c>
      <c r="B273" s="179" t="s">
        <v>176</v>
      </c>
      <c r="C273" s="46" t="s">
        <v>392</v>
      </c>
      <c r="D273" s="46" t="s">
        <v>153</v>
      </c>
      <c r="E273" s="46" t="s">
        <v>888</v>
      </c>
      <c r="F273" s="46" t="s">
        <v>287</v>
      </c>
      <c r="G273" s="188">
        <f>H273</f>
        <v>1745</v>
      </c>
      <c r="H273" s="275">
        <f>800+945</f>
        <v>1745</v>
      </c>
      <c r="I273" s="275"/>
    </row>
    <row r="274" spans="1:9" ht="30">
      <c r="A274" s="178" t="s">
        <v>213</v>
      </c>
      <c r="B274" s="179" t="s">
        <v>176</v>
      </c>
      <c r="C274" s="46" t="s">
        <v>392</v>
      </c>
      <c r="D274" s="46" t="s">
        <v>153</v>
      </c>
      <c r="E274" s="46" t="s">
        <v>56</v>
      </c>
      <c r="F274" s="46" t="s">
        <v>409</v>
      </c>
      <c r="G274" s="188">
        <f t="shared" si="18"/>
        <v>7601.46</v>
      </c>
      <c r="H274" s="275">
        <f>H275</f>
        <v>7601.46</v>
      </c>
      <c r="I274" s="275"/>
    </row>
    <row r="275" spans="1:9" ht="45">
      <c r="A275" s="178" t="s">
        <v>210</v>
      </c>
      <c r="B275" s="179" t="s">
        <v>176</v>
      </c>
      <c r="C275" s="46" t="s">
        <v>392</v>
      </c>
      <c r="D275" s="46" t="s">
        <v>153</v>
      </c>
      <c r="E275" s="46" t="s">
        <v>56</v>
      </c>
      <c r="F275" s="46" t="s">
        <v>211</v>
      </c>
      <c r="G275" s="188">
        <f t="shared" si="18"/>
        <v>7601.46</v>
      </c>
      <c r="H275" s="275">
        <f>H276</f>
        <v>7601.46</v>
      </c>
      <c r="I275" s="275"/>
    </row>
    <row r="276" spans="1:9" ht="15">
      <c r="A276" s="178" t="s">
        <v>212</v>
      </c>
      <c r="B276" s="179" t="s">
        <v>176</v>
      </c>
      <c r="C276" s="46" t="s">
        <v>392</v>
      </c>
      <c r="D276" s="46" t="s">
        <v>153</v>
      </c>
      <c r="E276" s="46" t="s">
        <v>59</v>
      </c>
      <c r="F276" s="46" t="s">
        <v>287</v>
      </c>
      <c r="G276" s="188">
        <f t="shared" si="18"/>
        <v>7601.46</v>
      </c>
      <c r="H276" s="275">
        <f>4998.16+1893.3+180+530</f>
        <v>7601.46</v>
      </c>
      <c r="I276" s="275"/>
    </row>
    <row r="277" spans="1:9" ht="30">
      <c r="A277" s="178" t="s">
        <v>214</v>
      </c>
      <c r="B277" s="179" t="s">
        <v>176</v>
      </c>
      <c r="C277" s="46" t="s">
        <v>392</v>
      </c>
      <c r="D277" s="46" t="s">
        <v>153</v>
      </c>
      <c r="E277" s="46" t="s">
        <v>56</v>
      </c>
      <c r="F277" s="46" t="s">
        <v>409</v>
      </c>
      <c r="G277" s="188">
        <f t="shared" si="18"/>
        <v>3595.9399999999996</v>
      </c>
      <c r="H277" s="275">
        <f>H278</f>
        <v>3595.9399999999996</v>
      </c>
      <c r="I277" s="275"/>
    </row>
    <row r="278" spans="1:9" ht="45">
      <c r="A278" s="178" t="s">
        <v>210</v>
      </c>
      <c r="B278" s="179" t="s">
        <v>176</v>
      </c>
      <c r="C278" s="46" t="s">
        <v>392</v>
      </c>
      <c r="D278" s="46" t="s">
        <v>153</v>
      </c>
      <c r="E278" s="46" t="s">
        <v>56</v>
      </c>
      <c r="F278" s="46" t="s">
        <v>211</v>
      </c>
      <c r="G278" s="188">
        <f t="shared" si="18"/>
        <v>3595.9399999999996</v>
      </c>
      <c r="H278" s="275">
        <f>H279</f>
        <v>3595.9399999999996</v>
      </c>
      <c r="I278" s="275"/>
    </row>
    <row r="279" spans="1:9" ht="15">
      <c r="A279" s="178" t="s">
        <v>212</v>
      </c>
      <c r="B279" s="179" t="s">
        <v>176</v>
      </c>
      <c r="C279" s="46" t="s">
        <v>392</v>
      </c>
      <c r="D279" s="46" t="s">
        <v>153</v>
      </c>
      <c r="E279" s="46" t="s">
        <v>60</v>
      </c>
      <c r="F279" s="46" t="s">
        <v>287</v>
      </c>
      <c r="G279" s="188">
        <f t="shared" si="18"/>
        <v>3595.9399999999996</v>
      </c>
      <c r="H279" s="275">
        <f>2235.64+910.3+100+350</f>
        <v>3595.9399999999996</v>
      </c>
      <c r="I279" s="275"/>
    </row>
    <row r="280" spans="1:9" ht="30" hidden="1">
      <c r="A280" s="329" t="s">
        <v>578</v>
      </c>
      <c r="B280" s="179" t="s">
        <v>176</v>
      </c>
      <c r="C280" s="46" t="s">
        <v>392</v>
      </c>
      <c r="D280" s="46" t="s">
        <v>153</v>
      </c>
      <c r="E280" s="174" t="s">
        <v>320</v>
      </c>
      <c r="F280" s="174" t="s">
        <v>409</v>
      </c>
      <c r="G280" s="188">
        <f t="shared" si="18"/>
        <v>0</v>
      </c>
      <c r="H280" s="201">
        <f>H281</f>
        <v>0</v>
      </c>
      <c r="I280" s="201"/>
    </row>
    <row r="281" spans="1:9" ht="30" hidden="1">
      <c r="A281" s="178" t="s">
        <v>587</v>
      </c>
      <c r="B281" s="179" t="s">
        <v>176</v>
      </c>
      <c r="C281" s="46" t="s">
        <v>392</v>
      </c>
      <c r="D281" s="46" t="s">
        <v>153</v>
      </c>
      <c r="E281" s="66" t="s">
        <v>320</v>
      </c>
      <c r="F281" s="66" t="s">
        <v>409</v>
      </c>
      <c r="G281" s="188">
        <f t="shared" si="18"/>
        <v>0</v>
      </c>
      <c r="H281" s="188">
        <f>H282</f>
        <v>0</v>
      </c>
      <c r="I281" s="188"/>
    </row>
    <row r="282" spans="1:9" ht="45" hidden="1">
      <c r="A282" s="178" t="s">
        <v>210</v>
      </c>
      <c r="B282" s="179" t="s">
        <v>176</v>
      </c>
      <c r="C282" s="46" t="s">
        <v>392</v>
      </c>
      <c r="D282" s="46" t="s">
        <v>153</v>
      </c>
      <c r="E282" s="66" t="s">
        <v>580</v>
      </c>
      <c r="F282" s="66" t="s">
        <v>211</v>
      </c>
      <c r="G282" s="188">
        <f t="shared" si="18"/>
        <v>0</v>
      </c>
      <c r="H282" s="188">
        <f>H283</f>
        <v>0</v>
      </c>
      <c r="I282" s="188"/>
    </row>
    <row r="283" spans="1:9" ht="15" hidden="1">
      <c r="A283" s="178" t="s">
        <v>212</v>
      </c>
      <c r="B283" s="179" t="s">
        <v>176</v>
      </c>
      <c r="C283" s="46" t="s">
        <v>392</v>
      </c>
      <c r="D283" s="46" t="s">
        <v>153</v>
      </c>
      <c r="E283" s="66" t="s">
        <v>580</v>
      </c>
      <c r="F283" s="66" t="s">
        <v>287</v>
      </c>
      <c r="G283" s="188">
        <f t="shared" si="18"/>
        <v>0</v>
      </c>
      <c r="H283" s="188"/>
      <c r="I283" s="188"/>
    </row>
    <row r="284" spans="1:9" ht="60" hidden="1">
      <c r="A284" s="110" t="s">
        <v>486</v>
      </c>
      <c r="B284" s="179" t="s">
        <v>176</v>
      </c>
      <c r="C284" s="46" t="s">
        <v>392</v>
      </c>
      <c r="D284" s="46" t="s">
        <v>153</v>
      </c>
      <c r="E284" s="115" t="s">
        <v>320</v>
      </c>
      <c r="F284" s="115" t="s">
        <v>409</v>
      </c>
      <c r="G284" s="218">
        <f>G285</f>
        <v>0</v>
      </c>
      <c r="H284" s="218">
        <f>H285</f>
        <v>0</v>
      </c>
      <c r="I284" s="218">
        <f>I285</f>
        <v>0</v>
      </c>
    </row>
    <row r="285" spans="1:9" s="48" customFormat="1" ht="72.75" customHeight="1" hidden="1">
      <c r="A285" s="329" t="s">
        <v>607</v>
      </c>
      <c r="B285" s="200" t="s">
        <v>176</v>
      </c>
      <c r="C285" s="174" t="s">
        <v>392</v>
      </c>
      <c r="D285" s="174" t="s">
        <v>153</v>
      </c>
      <c r="E285" s="174" t="s">
        <v>320</v>
      </c>
      <c r="F285" s="174" t="s">
        <v>409</v>
      </c>
      <c r="G285" s="201">
        <f>H285+I285</f>
        <v>0</v>
      </c>
      <c r="H285" s="201">
        <f>H286+H288</f>
        <v>0</v>
      </c>
      <c r="I285" s="201">
        <f>I286</f>
        <v>0</v>
      </c>
    </row>
    <row r="286" spans="1:9" s="48" customFormat="1" ht="90" hidden="1">
      <c r="A286" s="35" t="s">
        <v>654</v>
      </c>
      <c r="B286" s="43" t="s">
        <v>176</v>
      </c>
      <c r="C286" s="66" t="s">
        <v>392</v>
      </c>
      <c r="D286" s="66" t="s">
        <v>153</v>
      </c>
      <c r="E286" s="66" t="s">
        <v>730</v>
      </c>
      <c r="F286" s="66" t="s">
        <v>211</v>
      </c>
      <c r="G286" s="188">
        <f>G287</f>
        <v>0</v>
      </c>
      <c r="H286" s="188">
        <f>H287</f>
        <v>0</v>
      </c>
      <c r="I286" s="188">
        <f>I287</f>
        <v>0</v>
      </c>
    </row>
    <row r="287" spans="1:9" s="48" customFormat="1" ht="15" hidden="1">
      <c r="A287" s="35" t="s">
        <v>212</v>
      </c>
      <c r="B287" s="43" t="s">
        <v>176</v>
      </c>
      <c r="C287" s="66" t="s">
        <v>392</v>
      </c>
      <c r="D287" s="66" t="s">
        <v>153</v>
      </c>
      <c r="E287" s="66" t="s">
        <v>730</v>
      </c>
      <c r="F287" s="66" t="s">
        <v>287</v>
      </c>
      <c r="G287" s="188">
        <f>H287+I287</f>
        <v>0</v>
      </c>
      <c r="H287" s="188"/>
      <c r="I287" s="188">
        <v>0</v>
      </c>
    </row>
    <row r="288" spans="1:9" s="48" customFormat="1" ht="120" hidden="1">
      <c r="A288" s="35" t="s">
        <v>655</v>
      </c>
      <c r="B288" s="43" t="s">
        <v>176</v>
      </c>
      <c r="C288" s="66" t="s">
        <v>392</v>
      </c>
      <c r="D288" s="66" t="s">
        <v>153</v>
      </c>
      <c r="E288" s="66" t="s">
        <v>731</v>
      </c>
      <c r="F288" s="66" t="s">
        <v>211</v>
      </c>
      <c r="G288" s="188">
        <f>G289</f>
        <v>0</v>
      </c>
      <c r="H288" s="188">
        <f>H289</f>
        <v>0</v>
      </c>
      <c r="I288" s="188">
        <f>I289</f>
        <v>0</v>
      </c>
    </row>
    <row r="289" spans="1:9" s="48" customFormat="1" ht="15" hidden="1">
      <c r="A289" s="35" t="s">
        <v>212</v>
      </c>
      <c r="B289" s="43" t="s">
        <v>176</v>
      </c>
      <c r="C289" s="66" t="s">
        <v>392</v>
      </c>
      <c r="D289" s="66" t="s">
        <v>153</v>
      </c>
      <c r="E289" s="66" t="s">
        <v>731</v>
      </c>
      <c r="F289" s="66" t="s">
        <v>287</v>
      </c>
      <c r="G289" s="188">
        <f>H289+I289</f>
        <v>0</v>
      </c>
      <c r="H289" s="188">
        <v>0</v>
      </c>
      <c r="I289" s="188">
        <v>0</v>
      </c>
    </row>
    <row r="290" spans="1:9" ht="15" hidden="1">
      <c r="A290" s="35"/>
      <c r="B290" s="43"/>
      <c r="C290" s="66"/>
      <c r="D290" s="66"/>
      <c r="E290" s="66"/>
      <c r="F290" s="66"/>
      <c r="G290" s="188"/>
      <c r="H290" s="188"/>
      <c r="I290" s="188"/>
    </row>
    <row r="291" spans="1:9" ht="45">
      <c r="A291" s="247" t="s">
        <v>473</v>
      </c>
      <c r="B291" s="473">
        <v>951</v>
      </c>
      <c r="C291" s="474" t="s">
        <v>392</v>
      </c>
      <c r="D291" s="474" t="s">
        <v>377</v>
      </c>
      <c r="E291" s="115" t="s">
        <v>29</v>
      </c>
      <c r="F291" s="474" t="s">
        <v>409</v>
      </c>
      <c r="G291" s="312">
        <f t="shared" si="11"/>
        <v>111</v>
      </c>
      <c r="H291" s="312">
        <f>H292</f>
        <v>111</v>
      </c>
      <c r="I291" s="312">
        <f aca="true" t="shared" si="19" ref="H291:I293">I292</f>
        <v>0</v>
      </c>
    </row>
    <row r="292" spans="1:9" ht="30">
      <c r="A292" s="248" t="s">
        <v>463</v>
      </c>
      <c r="B292" s="179">
        <v>951</v>
      </c>
      <c r="C292" s="46" t="s">
        <v>392</v>
      </c>
      <c r="D292" s="46" t="s">
        <v>377</v>
      </c>
      <c r="E292" s="46" t="s">
        <v>30</v>
      </c>
      <c r="F292" s="46" t="s">
        <v>409</v>
      </c>
      <c r="G292" s="275">
        <f t="shared" si="11"/>
        <v>111</v>
      </c>
      <c r="H292" s="275">
        <f t="shared" si="19"/>
        <v>111</v>
      </c>
      <c r="I292" s="275">
        <f t="shared" si="19"/>
        <v>0</v>
      </c>
    </row>
    <row r="293" spans="1:9" ht="30">
      <c r="A293" s="178" t="s">
        <v>187</v>
      </c>
      <c r="B293" s="179">
        <v>951</v>
      </c>
      <c r="C293" s="46" t="s">
        <v>392</v>
      </c>
      <c r="D293" s="46" t="s">
        <v>377</v>
      </c>
      <c r="E293" s="46" t="s">
        <v>32</v>
      </c>
      <c r="F293" s="46" t="s">
        <v>155</v>
      </c>
      <c r="G293" s="275">
        <f t="shared" si="11"/>
        <v>111</v>
      </c>
      <c r="H293" s="275">
        <f t="shared" si="19"/>
        <v>111</v>
      </c>
      <c r="I293" s="275">
        <f t="shared" si="19"/>
        <v>0</v>
      </c>
    </row>
    <row r="294" spans="1:9" ht="45">
      <c r="A294" s="180" t="s">
        <v>188</v>
      </c>
      <c r="B294" s="179">
        <v>951</v>
      </c>
      <c r="C294" s="46" t="s">
        <v>392</v>
      </c>
      <c r="D294" s="46" t="s">
        <v>377</v>
      </c>
      <c r="E294" s="46" t="s">
        <v>33</v>
      </c>
      <c r="F294" s="46" t="s">
        <v>189</v>
      </c>
      <c r="G294" s="275">
        <f t="shared" si="11"/>
        <v>111</v>
      </c>
      <c r="H294" s="223">
        <v>111</v>
      </c>
      <c r="I294" s="275"/>
    </row>
    <row r="295" spans="1:9" ht="60" hidden="1">
      <c r="A295" s="110" t="s">
        <v>285</v>
      </c>
      <c r="B295" s="179">
        <v>951</v>
      </c>
      <c r="C295" s="46" t="s">
        <v>392</v>
      </c>
      <c r="D295" s="46" t="s">
        <v>377</v>
      </c>
      <c r="E295" s="115" t="s">
        <v>39</v>
      </c>
      <c r="F295" s="46" t="s">
        <v>409</v>
      </c>
      <c r="G295" s="275">
        <f t="shared" si="11"/>
        <v>0</v>
      </c>
      <c r="H295" s="275">
        <f>H296</f>
        <v>0</v>
      </c>
      <c r="I295" s="275"/>
    </row>
    <row r="296" spans="1:9" ht="30" hidden="1">
      <c r="A296" s="178" t="s">
        <v>187</v>
      </c>
      <c r="B296" s="179">
        <v>951</v>
      </c>
      <c r="C296" s="46" t="s">
        <v>392</v>
      </c>
      <c r="D296" s="46" t="s">
        <v>377</v>
      </c>
      <c r="E296" s="66" t="s">
        <v>531</v>
      </c>
      <c r="F296" s="46" t="s">
        <v>155</v>
      </c>
      <c r="G296" s="275">
        <f t="shared" si="11"/>
        <v>0</v>
      </c>
      <c r="H296" s="275">
        <f>H297</f>
        <v>0</v>
      </c>
      <c r="I296" s="275"/>
    </row>
    <row r="297" spans="1:9" ht="45" hidden="1">
      <c r="A297" s="180" t="s">
        <v>188</v>
      </c>
      <c r="B297" s="179">
        <v>951</v>
      </c>
      <c r="C297" s="46" t="s">
        <v>392</v>
      </c>
      <c r="D297" s="46" t="s">
        <v>377</v>
      </c>
      <c r="E297" s="66" t="s">
        <v>531</v>
      </c>
      <c r="F297" s="46" t="s">
        <v>189</v>
      </c>
      <c r="G297" s="275">
        <f t="shared" si="11"/>
        <v>0</v>
      </c>
      <c r="H297" s="275">
        <v>0</v>
      </c>
      <c r="I297" s="275"/>
    </row>
    <row r="298" spans="1:9" ht="30">
      <c r="A298" s="244" t="s">
        <v>149</v>
      </c>
      <c r="B298" s="179">
        <v>951</v>
      </c>
      <c r="C298" s="46" t="s">
        <v>392</v>
      </c>
      <c r="D298" s="46" t="s">
        <v>377</v>
      </c>
      <c r="E298" s="46" t="s">
        <v>10</v>
      </c>
      <c r="F298" s="46" t="s">
        <v>409</v>
      </c>
      <c r="G298" s="275">
        <f t="shared" si="11"/>
        <v>3458.2</v>
      </c>
      <c r="H298" s="275">
        <f>H299</f>
        <v>3458.2</v>
      </c>
      <c r="I298" s="275">
        <f>I299</f>
        <v>0</v>
      </c>
    </row>
    <row r="299" spans="1:9" ht="42.75" customHeight="1">
      <c r="A299" s="178" t="s">
        <v>150</v>
      </c>
      <c r="B299" s="179">
        <v>951</v>
      </c>
      <c r="C299" s="46" t="s">
        <v>392</v>
      </c>
      <c r="D299" s="46" t="s">
        <v>377</v>
      </c>
      <c r="E299" s="46" t="s">
        <v>11</v>
      </c>
      <c r="F299" s="46" t="s">
        <v>409</v>
      </c>
      <c r="G299" s="275">
        <f t="shared" si="11"/>
        <v>3458.2</v>
      </c>
      <c r="H299" s="275">
        <f>H300</f>
        <v>3458.2</v>
      </c>
      <c r="I299" s="275">
        <f>I300</f>
        <v>0</v>
      </c>
    </row>
    <row r="300" spans="1:11" ht="45">
      <c r="A300" s="246" t="s">
        <v>154</v>
      </c>
      <c r="B300" s="179">
        <v>951</v>
      </c>
      <c r="C300" s="475" t="s">
        <v>392</v>
      </c>
      <c r="D300" s="475" t="s">
        <v>377</v>
      </c>
      <c r="E300" s="46" t="s">
        <v>14</v>
      </c>
      <c r="F300" s="475" t="s">
        <v>409</v>
      </c>
      <c r="G300" s="275">
        <f t="shared" si="11"/>
        <v>3458.2</v>
      </c>
      <c r="H300" s="275">
        <f>H301+H303</f>
        <v>3458.2</v>
      </c>
      <c r="I300" s="275">
        <f>I301+I303</f>
        <v>0</v>
      </c>
      <c r="K300" s="554"/>
    </row>
    <row r="301" spans="1:9" ht="81.75" customHeight="1">
      <c r="A301" s="246" t="s">
        <v>184</v>
      </c>
      <c r="B301" s="179">
        <v>951</v>
      </c>
      <c r="C301" s="475" t="s">
        <v>392</v>
      </c>
      <c r="D301" s="475" t="s">
        <v>377</v>
      </c>
      <c r="E301" s="46" t="s">
        <v>14</v>
      </c>
      <c r="F301" s="475" t="s">
        <v>151</v>
      </c>
      <c r="G301" s="275">
        <f>H301+I301</f>
        <v>3313.2</v>
      </c>
      <c r="H301" s="275">
        <f>H302</f>
        <v>3313.2</v>
      </c>
      <c r="I301" s="275">
        <f>I302</f>
        <v>0</v>
      </c>
    </row>
    <row r="302" spans="1:9" ht="30">
      <c r="A302" s="178" t="s">
        <v>186</v>
      </c>
      <c r="B302" s="179">
        <v>951</v>
      </c>
      <c r="C302" s="46" t="s">
        <v>392</v>
      </c>
      <c r="D302" s="46" t="s">
        <v>377</v>
      </c>
      <c r="E302" s="46" t="s">
        <v>14</v>
      </c>
      <c r="F302" s="46" t="s">
        <v>185</v>
      </c>
      <c r="G302" s="275">
        <f>H302+I302</f>
        <v>3313.2</v>
      </c>
      <c r="H302" s="223">
        <f>2510.9+44+758.3</f>
        <v>3313.2</v>
      </c>
      <c r="I302" s="275"/>
    </row>
    <row r="303" spans="1:9" ht="30">
      <c r="A303" s="178" t="s">
        <v>187</v>
      </c>
      <c r="B303" s="179">
        <v>951</v>
      </c>
      <c r="C303" s="46" t="s">
        <v>392</v>
      </c>
      <c r="D303" s="46" t="s">
        <v>377</v>
      </c>
      <c r="E303" s="46" t="s">
        <v>14</v>
      </c>
      <c r="F303" s="46" t="s">
        <v>155</v>
      </c>
      <c r="G303" s="275">
        <f t="shared" si="11"/>
        <v>145</v>
      </c>
      <c r="H303" s="223">
        <f>H304</f>
        <v>145</v>
      </c>
      <c r="I303" s="275">
        <f>I304</f>
        <v>0</v>
      </c>
    </row>
    <row r="304" spans="1:9" ht="45">
      <c r="A304" s="180" t="s">
        <v>188</v>
      </c>
      <c r="B304" s="179">
        <v>951</v>
      </c>
      <c r="C304" s="46" t="s">
        <v>392</v>
      </c>
      <c r="D304" s="46" t="s">
        <v>377</v>
      </c>
      <c r="E304" s="46" t="s">
        <v>14</v>
      </c>
      <c r="F304" s="46" t="s">
        <v>189</v>
      </c>
      <c r="G304" s="275">
        <f t="shared" si="11"/>
        <v>145</v>
      </c>
      <c r="H304" s="223">
        <f>145</f>
        <v>145</v>
      </c>
      <c r="I304" s="275"/>
    </row>
    <row r="305" spans="1:11" ht="70.5" customHeight="1">
      <c r="A305" s="229" t="s">
        <v>686</v>
      </c>
      <c r="B305" s="459">
        <v>951</v>
      </c>
      <c r="C305" s="230" t="s">
        <v>392</v>
      </c>
      <c r="D305" s="230" t="s">
        <v>377</v>
      </c>
      <c r="E305" s="230" t="s">
        <v>694</v>
      </c>
      <c r="F305" s="230" t="s">
        <v>409</v>
      </c>
      <c r="G305" s="243">
        <f t="shared" si="11"/>
        <v>1865.848</v>
      </c>
      <c r="H305" s="243">
        <f>H306+H308</f>
        <v>0</v>
      </c>
      <c r="I305" s="243">
        <f>I306+I308</f>
        <v>1865.848</v>
      </c>
      <c r="K305" s="554"/>
    </row>
    <row r="306" spans="1:9" ht="85.5" customHeight="1">
      <c r="A306" s="42" t="s">
        <v>184</v>
      </c>
      <c r="B306" s="43">
        <v>951</v>
      </c>
      <c r="C306" s="82" t="s">
        <v>392</v>
      </c>
      <c r="D306" s="82" t="s">
        <v>377</v>
      </c>
      <c r="E306" s="66" t="s">
        <v>694</v>
      </c>
      <c r="F306" s="82" t="s">
        <v>151</v>
      </c>
      <c r="G306" s="188">
        <f t="shared" si="11"/>
        <v>1311.899</v>
      </c>
      <c r="H306" s="188">
        <f>H307</f>
        <v>0</v>
      </c>
      <c r="I306" s="188">
        <f>I307</f>
        <v>1311.899</v>
      </c>
    </row>
    <row r="307" spans="1:9" ht="30">
      <c r="A307" s="84" t="s">
        <v>186</v>
      </c>
      <c r="B307" s="43">
        <v>951</v>
      </c>
      <c r="C307" s="82" t="s">
        <v>392</v>
      </c>
      <c r="D307" s="82" t="s">
        <v>377</v>
      </c>
      <c r="E307" s="66" t="s">
        <v>694</v>
      </c>
      <c r="F307" s="66" t="s">
        <v>185</v>
      </c>
      <c r="G307" s="188">
        <f t="shared" si="11"/>
        <v>1311.899</v>
      </c>
      <c r="H307" s="272"/>
      <c r="I307" s="188">
        <v>1311.899</v>
      </c>
    </row>
    <row r="308" spans="1:9" ht="30">
      <c r="A308" s="35" t="s">
        <v>187</v>
      </c>
      <c r="B308" s="43">
        <v>951</v>
      </c>
      <c r="C308" s="82" t="s">
        <v>392</v>
      </c>
      <c r="D308" s="82" t="s">
        <v>377</v>
      </c>
      <c r="E308" s="66" t="s">
        <v>694</v>
      </c>
      <c r="F308" s="66" t="s">
        <v>155</v>
      </c>
      <c r="G308" s="188">
        <f t="shared" si="11"/>
        <v>553.949</v>
      </c>
      <c r="H308" s="272">
        <f>H309</f>
        <v>0</v>
      </c>
      <c r="I308" s="188">
        <f>I309</f>
        <v>553.949</v>
      </c>
    </row>
    <row r="309" spans="1:9" ht="45">
      <c r="A309" s="84" t="s">
        <v>188</v>
      </c>
      <c r="B309" s="43">
        <v>951</v>
      </c>
      <c r="C309" s="82" t="s">
        <v>392</v>
      </c>
      <c r="D309" s="82" t="s">
        <v>377</v>
      </c>
      <c r="E309" s="66" t="s">
        <v>694</v>
      </c>
      <c r="F309" s="66" t="s">
        <v>189</v>
      </c>
      <c r="G309" s="188">
        <f t="shared" si="11"/>
        <v>553.949</v>
      </c>
      <c r="H309" s="272"/>
      <c r="I309" s="188">
        <v>553.949</v>
      </c>
    </row>
    <row r="310" spans="1:9" ht="14.25">
      <c r="A310" s="240" t="s">
        <v>183</v>
      </c>
      <c r="B310" s="456">
        <v>951</v>
      </c>
      <c r="C310" s="465" t="s">
        <v>380</v>
      </c>
      <c r="D310" s="465" t="s">
        <v>147</v>
      </c>
      <c r="E310" s="465" t="s">
        <v>320</v>
      </c>
      <c r="F310" s="465" t="s">
        <v>409</v>
      </c>
      <c r="G310" s="249">
        <f>H310+I310</f>
        <v>16779.96968</v>
      </c>
      <c r="H310" s="249">
        <f>H311+H344</f>
        <v>14549.796789999999</v>
      </c>
      <c r="I310" s="249">
        <f>I311+I344</f>
        <v>2230.17289</v>
      </c>
    </row>
    <row r="311" spans="1:9" ht="17.25" customHeight="1">
      <c r="A311" s="226" t="s">
        <v>446</v>
      </c>
      <c r="B311" s="43">
        <v>951</v>
      </c>
      <c r="C311" s="82" t="s">
        <v>380</v>
      </c>
      <c r="D311" s="82" t="s">
        <v>146</v>
      </c>
      <c r="E311" s="82" t="s">
        <v>320</v>
      </c>
      <c r="F311" s="82" t="s">
        <v>409</v>
      </c>
      <c r="G311" s="188">
        <f t="shared" si="11"/>
        <v>15488.839479999999</v>
      </c>
      <c r="H311" s="188">
        <f>H312+H341</f>
        <v>13458.666589999999</v>
      </c>
      <c r="I311" s="188">
        <f>I312+I341</f>
        <v>2030.17289</v>
      </c>
    </row>
    <row r="312" spans="1:9" ht="41.25" customHeight="1">
      <c r="A312" s="110" t="s">
        <v>486</v>
      </c>
      <c r="B312" s="175">
        <v>951</v>
      </c>
      <c r="C312" s="115" t="s">
        <v>380</v>
      </c>
      <c r="D312" s="115" t="s">
        <v>146</v>
      </c>
      <c r="E312" s="115" t="s">
        <v>98</v>
      </c>
      <c r="F312" s="115" t="s">
        <v>409</v>
      </c>
      <c r="G312" s="218">
        <f t="shared" si="11"/>
        <v>15488.839479999999</v>
      </c>
      <c r="H312" s="218">
        <f>H313+H318+H327+H331+H338</f>
        <v>13458.666589999999</v>
      </c>
      <c r="I312" s="218">
        <f>I313+I318+I327+I331+I338</f>
        <v>2030.17289</v>
      </c>
    </row>
    <row r="313" spans="1:9" ht="62.25" customHeight="1">
      <c r="A313" s="183" t="s">
        <v>537</v>
      </c>
      <c r="B313" s="43">
        <v>951</v>
      </c>
      <c r="C313" s="66" t="s">
        <v>380</v>
      </c>
      <c r="D313" s="66" t="s">
        <v>146</v>
      </c>
      <c r="E313" s="66" t="s">
        <v>75</v>
      </c>
      <c r="F313" s="66" t="s">
        <v>409</v>
      </c>
      <c r="G313" s="188">
        <f t="shared" si="11"/>
        <v>9525.5898</v>
      </c>
      <c r="H313" s="188">
        <f>H314+H316</f>
        <v>9525.5898</v>
      </c>
      <c r="I313" s="188">
        <f>I314</f>
        <v>0</v>
      </c>
    </row>
    <row r="314" spans="1:9" ht="45">
      <c r="A314" s="42" t="s">
        <v>210</v>
      </c>
      <c r="B314" s="43">
        <v>951</v>
      </c>
      <c r="C314" s="82" t="s">
        <v>380</v>
      </c>
      <c r="D314" s="82" t="s">
        <v>146</v>
      </c>
      <c r="E314" s="82" t="s">
        <v>76</v>
      </c>
      <c r="F314" s="82" t="s">
        <v>211</v>
      </c>
      <c r="G314" s="188">
        <f>H314+I314</f>
        <v>7905.5898</v>
      </c>
      <c r="H314" s="188">
        <f>H315</f>
        <v>7905.5898</v>
      </c>
      <c r="I314" s="188"/>
    </row>
    <row r="315" spans="1:9" ht="15">
      <c r="A315" s="235" t="s">
        <v>212</v>
      </c>
      <c r="B315" s="461">
        <v>951</v>
      </c>
      <c r="C315" s="82" t="s">
        <v>380</v>
      </c>
      <c r="D315" s="82" t="s">
        <v>146</v>
      </c>
      <c r="E315" s="82" t="s">
        <v>77</v>
      </c>
      <c r="F315" s="82" t="s">
        <v>287</v>
      </c>
      <c r="G315" s="272">
        <f t="shared" si="11"/>
        <v>7905.5898</v>
      </c>
      <c r="H315" s="188">
        <f>5802.65+100+72.86+25+150-0.0202+1755.1</f>
        <v>7905.5898</v>
      </c>
      <c r="I315" s="272"/>
    </row>
    <row r="316" spans="1:9" ht="99" customHeight="1">
      <c r="A316" s="42" t="s">
        <v>96</v>
      </c>
      <c r="B316" s="43">
        <v>951</v>
      </c>
      <c r="C316" s="82" t="s">
        <v>380</v>
      </c>
      <c r="D316" s="82" t="s">
        <v>146</v>
      </c>
      <c r="E316" s="82" t="s">
        <v>95</v>
      </c>
      <c r="F316" s="82" t="s">
        <v>211</v>
      </c>
      <c r="G316" s="188">
        <f t="shared" si="11"/>
        <v>1620</v>
      </c>
      <c r="H316" s="272">
        <f>H317</f>
        <v>1620</v>
      </c>
      <c r="I316" s="188"/>
    </row>
    <row r="317" spans="1:9" ht="16.5" customHeight="1">
      <c r="A317" s="42" t="s">
        <v>212</v>
      </c>
      <c r="B317" s="43">
        <v>951</v>
      </c>
      <c r="C317" s="82" t="s">
        <v>380</v>
      </c>
      <c r="D317" s="82" t="s">
        <v>146</v>
      </c>
      <c r="E317" s="82" t="s">
        <v>95</v>
      </c>
      <c r="F317" s="82" t="s">
        <v>287</v>
      </c>
      <c r="G317" s="188">
        <f t="shared" si="11"/>
        <v>1620</v>
      </c>
      <c r="H317" s="272">
        <v>1620</v>
      </c>
      <c r="I317" s="188"/>
    </row>
    <row r="318" spans="1:9" ht="62.25" customHeight="1">
      <c r="A318" s="181" t="s">
        <v>588</v>
      </c>
      <c r="B318" s="43">
        <v>951</v>
      </c>
      <c r="C318" s="182" t="s">
        <v>380</v>
      </c>
      <c r="D318" s="182" t="s">
        <v>146</v>
      </c>
      <c r="E318" s="182" t="s">
        <v>75</v>
      </c>
      <c r="F318" s="182" t="s">
        <v>409</v>
      </c>
      <c r="G318" s="217">
        <f>H318+I318</f>
        <v>1821.94949</v>
      </c>
      <c r="H318" s="217">
        <f>H319+H322+H325</f>
        <v>18.21949</v>
      </c>
      <c r="I318" s="217">
        <f>I319+I322+I325</f>
        <v>1803.73</v>
      </c>
    </row>
    <row r="319" spans="1:9" ht="69" customHeight="1">
      <c r="A319" s="110" t="s">
        <v>589</v>
      </c>
      <c r="B319" s="43">
        <v>951</v>
      </c>
      <c r="C319" s="115" t="s">
        <v>380</v>
      </c>
      <c r="D319" s="115" t="s">
        <v>146</v>
      </c>
      <c r="E319" s="115" t="s">
        <v>590</v>
      </c>
      <c r="F319" s="115" t="s">
        <v>409</v>
      </c>
      <c r="G319" s="218">
        <f>H319+I319</f>
        <v>1803.73</v>
      </c>
      <c r="H319" s="218">
        <f>H320</f>
        <v>0</v>
      </c>
      <c r="I319" s="218">
        <f>I320</f>
        <v>1803.73</v>
      </c>
    </row>
    <row r="320" spans="1:9" ht="48" customHeight="1">
      <c r="A320" s="35" t="s">
        <v>210</v>
      </c>
      <c r="B320" s="43">
        <v>951</v>
      </c>
      <c r="C320" s="66" t="s">
        <v>380</v>
      </c>
      <c r="D320" s="66" t="s">
        <v>146</v>
      </c>
      <c r="E320" s="66" t="s">
        <v>590</v>
      </c>
      <c r="F320" s="66" t="s">
        <v>211</v>
      </c>
      <c r="G320" s="188">
        <f>H320+I320</f>
        <v>1803.73</v>
      </c>
      <c r="H320" s="188">
        <f>H321</f>
        <v>0</v>
      </c>
      <c r="I320" s="188">
        <f>I321</f>
        <v>1803.73</v>
      </c>
    </row>
    <row r="321" spans="1:9" ht="20.25" customHeight="1">
      <c r="A321" s="35" t="s">
        <v>212</v>
      </c>
      <c r="B321" s="43">
        <v>951</v>
      </c>
      <c r="C321" s="66" t="s">
        <v>380</v>
      </c>
      <c r="D321" s="66" t="s">
        <v>146</v>
      </c>
      <c r="E321" s="82" t="s">
        <v>590</v>
      </c>
      <c r="F321" s="82" t="s">
        <v>287</v>
      </c>
      <c r="G321" s="272">
        <f>H321+I321</f>
        <v>1803.73</v>
      </c>
      <c r="H321" s="272"/>
      <c r="I321" s="272">
        <v>1803.73</v>
      </c>
    </row>
    <row r="322" spans="1:9" ht="119.25" customHeight="1">
      <c r="A322" s="110" t="s">
        <v>618</v>
      </c>
      <c r="B322" s="43">
        <v>951</v>
      </c>
      <c r="C322" s="115" t="s">
        <v>380</v>
      </c>
      <c r="D322" s="115" t="s">
        <v>146</v>
      </c>
      <c r="E322" s="479" t="s">
        <v>591</v>
      </c>
      <c r="F322" s="479" t="s">
        <v>409</v>
      </c>
      <c r="G322" s="314">
        <f>H322</f>
        <v>18.21949</v>
      </c>
      <c r="H322" s="314">
        <f>H323</f>
        <v>18.21949</v>
      </c>
      <c r="I322" s="314"/>
    </row>
    <row r="323" spans="1:9" ht="48" customHeight="1">
      <c r="A323" s="35" t="s">
        <v>210</v>
      </c>
      <c r="B323" s="43">
        <v>951</v>
      </c>
      <c r="C323" s="66" t="s">
        <v>380</v>
      </c>
      <c r="D323" s="66" t="s">
        <v>146</v>
      </c>
      <c r="E323" s="82" t="s">
        <v>591</v>
      </c>
      <c r="F323" s="82" t="s">
        <v>211</v>
      </c>
      <c r="G323" s="272">
        <f>H323</f>
        <v>18.21949</v>
      </c>
      <c r="H323" s="272">
        <f>H324</f>
        <v>18.21949</v>
      </c>
      <c r="I323" s="272"/>
    </row>
    <row r="324" spans="1:10" ht="15.75" customHeight="1">
      <c r="A324" s="35" t="s">
        <v>212</v>
      </c>
      <c r="B324" s="43">
        <v>951</v>
      </c>
      <c r="C324" s="66" t="s">
        <v>380</v>
      </c>
      <c r="D324" s="66" t="s">
        <v>146</v>
      </c>
      <c r="E324" s="82" t="s">
        <v>591</v>
      </c>
      <c r="F324" s="82" t="s">
        <v>287</v>
      </c>
      <c r="G324" s="272">
        <f>H324</f>
        <v>18.21949</v>
      </c>
      <c r="H324" s="188">
        <f>18.21949+2-2</f>
        <v>18.21949</v>
      </c>
      <c r="I324" s="272"/>
      <c r="J324" s="48"/>
    </row>
    <row r="325" spans="1:10" ht="89.25" customHeight="1" hidden="1">
      <c r="A325" s="341" t="s">
        <v>781</v>
      </c>
      <c r="B325" s="189">
        <v>951</v>
      </c>
      <c r="C325" s="124" t="s">
        <v>380</v>
      </c>
      <c r="D325" s="124" t="s">
        <v>146</v>
      </c>
      <c r="E325" s="124" t="s">
        <v>810</v>
      </c>
      <c r="F325" s="124" t="s">
        <v>409</v>
      </c>
      <c r="G325" s="334">
        <f>H325</f>
        <v>0</v>
      </c>
      <c r="H325" s="334">
        <f>H326</f>
        <v>0</v>
      </c>
      <c r="I325" s="334"/>
      <c r="J325" s="48"/>
    </row>
    <row r="326" spans="1:10" ht="15.75" customHeight="1" hidden="1">
      <c r="A326" s="341" t="s">
        <v>212</v>
      </c>
      <c r="B326" s="189">
        <v>951</v>
      </c>
      <c r="C326" s="124" t="s">
        <v>380</v>
      </c>
      <c r="D326" s="124" t="s">
        <v>146</v>
      </c>
      <c r="E326" s="124" t="s">
        <v>810</v>
      </c>
      <c r="F326" s="124" t="s">
        <v>287</v>
      </c>
      <c r="G326" s="334">
        <f>H326</f>
        <v>0</v>
      </c>
      <c r="H326" s="334">
        <f>25-25</f>
        <v>0</v>
      </c>
      <c r="I326" s="334"/>
      <c r="J326" s="48"/>
    </row>
    <row r="327" spans="1:9" ht="63" customHeight="1">
      <c r="A327" s="183" t="s">
        <v>538</v>
      </c>
      <c r="B327" s="43">
        <v>951</v>
      </c>
      <c r="C327" s="66" t="s">
        <v>380</v>
      </c>
      <c r="D327" s="66" t="s">
        <v>146</v>
      </c>
      <c r="E327" s="66" t="s">
        <v>78</v>
      </c>
      <c r="F327" s="66" t="s">
        <v>409</v>
      </c>
      <c r="G327" s="188">
        <f t="shared" si="11"/>
        <v>2488.2400000000002</v>
      </c>
      <c r="H327" s="188">
        <f>H328</f>
        <v>2488.2400000000002</v>
      </c>
      <c r="I327" s="188">
        <f>I328</f>
        <v>0</v>
      </c>
    </row>
    <row r="328" spans="1:9" ht="45">
      <c r="A328" s="35" t="s">
        <v>210</v>
      </c>
      <c r="B328" s="43">
        <v>951</v>
      </c>
      <c r="C328" s="66" t="s">
        <v>380</v>
      </c>
      <c r="D328" s="66" t="s">
        <v>146</v>
      </c>
      <c r="E328" s="66" t="s">
        <v>78</v>
      </c>
      <c r="F328" s="66" t="s">
        <v>409</v>
      </c>
      <c r="G328" s="188">
        <f t="shared" si="11"/>
        <v>2488.2400000000002</v>
      </c>
      <c r="H328" s="188">
        <f>H329</f>
        <v>2488.2400000000002</v>
      </c>
      <c r="I328" s="188">
        <f>I329+I330</f>
        <v>0</v>
      </c>
    </row>
    <row r="329" spans="1:9" ht="30">
      <c r="A329" s="35" t="s">
        <v>221</v>
      </c>
      <c r="B329" s="43">
        <v>951</v>
      </c>
      <c r="C329" s="66" t="s">
        <v>380</v>
      </c>
      <c r="D329" s="66" t="s">
        <v>146</v>
      </c>
      <c r="E329" s="66" t="s">
        <v>78</v>
      </c>
      <c r="F329" s="66" t="s">
        <v>211</v>
      </c>
      <c r="G329" s="188">
        <f t="shared" si="11"/>
        <v>2488.2400000000002</v>
      </c>
      <c r="H329" s="188">
        <f>H330</f>
        <v>2488.2400000000002</v>
      </c>
      <c r="I329" s="188"/>
    </row>
    <row r="330" spans="1:9" ht="16.5" customHeight="1">
      <c r="A330" s="35" t="s">
        <v>212</v>
      </c>
      <c r="B330" s="43">
        <v>951</v>
      </c>
      <c r="C330" s="66" t="s">
        <v>380</v>
      </c>
      <c r="D330" s="66" t="s">
        <v>146</v>
      </c>
      <c r="E330" s="66" t="s">
        <v>78</v>
      </c>
      <c r="F330" s="66" t="s">
        <v>287</v>
      </c>
      <c r="G330" s="188">
        <f t="shared" si="11"/>
        <v>2488.2400000000002</v>
      </c>
      <c r="H330" s="188">
        <f>1566.14+610.1+67+245</f>
        <v>2488.2400000000002</v>
      </c>
      <c r="I330" s="188"/>
    </row>
    <row r="331" spans="1:9" ht="63" customHeight="1">
      <c r="A331" s="181" t="s">
        <v>592</v>
      </c>
      <c r="B331" s="43">
        <v>951</v>
      </c>
      <c r="C331" s="182" t="s">
        <v>380</v>
      </c>
      <c r="D331" s="182" t="s">
        <v>146</v>
      </c>
      <c r="E331" s="182" t="s">
        <v>593</v>
      </c>
      <c r="F331" s="182" t="s">
        <v>409</v>
      </c>
      <c r="G331" s="217">
        <f>H331+I331</f>
        <v>228.73019</v>
      </c>
      <c r="H331" s="217">
        <f>H335</f>
        <v>2.2873</v>
      </c>
      <c r="I331" s="217">
        <f>I332</f>
        <v>226.44289</v>
      </c>
    </row>
    <row r="332" spans="1:9" ht="69" customHeight="1">
      <c r="A332" s="110" t="s">
        <v>619</v>
      </c>
      <c r="B332" s="43">
        <v>951</v>
      </c>
      <c r="C332" s="115" t="s">
        <v>380</v>
      </c>
      <c r="D332" s="115" t="s">
        <v>146</v>
      </c>
      <c r="E332" s="115" t="s">
        <v>594</v>
      </c>
      <c r="F332" s="115" t="s">
        <v>409</v>
      </c>
      <c r="G332" s="218">
        <f>I332</f>
        <v>226.44289</v>
      </c>
      <c r="H332" s="218"/>
      <c r="I332" s="218">
        <f>I333</f>
        <v>226.44289</v>
      </c>
    </row>
    <row r="333" spans="1:9" ht="48.75" customHeight="1">
      <c r="A333" s="35" t="s">
        <v>210</v>
      </c>
      <c r="B333" s="43">
        <v>951</v>
      </c>
      <c r="C333" s="66" t="s">
        <v>380</v>
      </c>
      <c r="D333" s="66" t="s">
        <v>146</v>
      </c>
      <c r="E333" s="66" t="s">
        <v>594</v>
      </c>
      <c r="F333" s="66" t="s">
        <v>211</v>
      </c>
      <c r="G333" s="188">
        <f>I333</f>
        <v>226.44289</v>
      </c>
      <c r="H333" s="188"/>
      <c r="I333" s="188">
        <f>I334</f>
        <v>226.44289</v>
      </c>
    </row>
    <row r="334" spans="1:9" ht="20.25" customHeight="1">
      <c r="A334" s="35" t="s">
        <v>212</v>
      </c>
      <c r="B334" s="43">
        <v>951</v>
      </c>
      <c r="C334" s="66" t="s">
        <v>380</v>
      </c>
      <c r="D334" s="66" t="s">
        <v>146</v>
      </c>
      <c r="E334" s="66" t="s">
        <v>594</v>
      </c>
      <c r="F334" s="66" t="s">
        <v>287</v>
      </c>
      <c r="G334" s="188">
        <f>I334</f>
        <v>226.44289</v>
      </c>
      <c r="H334" s="272"/>
      <c r="I334" s="272">
        <v>226.44289</v>
      </c>
    </row>
    <row r="335" spans="1:9" ht="97.5" customHeight="1">
      <c r="A335" s="110" t="s">
        <v>620</v>
      </c>
      <c r="B335" s="43">
        <v>951</v>
      </c>
      <c r="C335" s="115" t="s">
        <v>380</v>
      </c>
      <c r="D335" s="115" t="s">
        <v>146</v>
      </c>
      <c r="E335" s="115" t="s">
        <v>595</v>
      </c>
      <c r="F335" s="115" t="s">
        <v>409</v>
      </c>
      <c r="G335" s="218">
        <f>H335</f>
        <v>2.2873</v>
      </c>
      <c r="H335" s="314">
        <f>H336</f>
        <v>2.2873</v>
      </c>
      <c r="I335" s="314"/>
    </row>
    <row r="336" spans="1:9" ht="47.25" customHeight="1">
      <c r="A336" s="35" t="s">
        <v>210</v>
      </c>
      <c r="B336" s="43">
        <v>951</v>
      </c>
      <c r="C336" s="66" t="s">
        <v>380</v>
      </c>
      <c r="D336" s="66" t="s">
        <v>146</v>
      </c>
      <c r="E336" s="66" t="s">
        <v>595</v>
      </c>
      <c r="F336" s="66" t="s">
        <v>211</v>
      </c>
      <c r="G336" s="188">
        <f>H336</f>
        <v>2.2873</v>
      </c>
      <c r="H336" s="272">
        <f>H337</f>
        <v>2.2873</v>
      </c>
      <c r="I336" s="272"/>
    </row>
    <row r="337" spans="1:9" ht="18" customHeight="1">
      <c r="A337" s="35" t="s">
        <v>212</v>
      </c>
      <c r="B337" s="43">
        <v>951</v>
      </c>
      <c r="C337" s="66" t="s">
        <v>380</v>
      </c>
      <c r="D337" s="66" t="s">
        <v>146</v>
      </c>
      <c r="E337" s="66" t="s">
        <v>595</v>
      </c>
      <c r="F337" s="66" t="s">
        <v>287</v>
      </c>
      <c r="G337" s="188">
        <f>H337</f>
        <v>2.2873</v>
      </c>
      <c r="H337" s="272">
        <v>2.2873</v>
      </c>
      <c r="I337" s="272"/>
    </row>
    <row r="338" spans="1:9" ht="87" customHeight="1">
      <c r="A338" s="183" t="s">
        <v>539</v>
      </c>
      <c r="B338" s="43" t="s">
        <v>176</v>
      </c>
      <c r="C338" s="66" t="s">
        <v>380</v>
      </c>
      <c r="D338" s="66" t="s">
        <v>146</v>
      </c>
      <c r="E338" s="66" t="s">
        <v>79</v>
      </c>
      <c r="F338" s="66" t="s">
        <v>409</v>
      </c>
      <c r="G338" s="188">
        <f t="shared" si="11"/>
        <v>1424.3300000000002</v>
      </c>
      <c r="H338" s="188">
        <f>H339</f>
        <v>1424.3300000000002</v>
      </c>
      <c r="I338" s="188">
        <f>I339</f>
        <v>0</v>
      </c>
    </row>
    <row r="339" spans="1:9" ht="45">
      <c r="A339" s="35" t="s">
        <v>210</v>
      </c>
      <c r="B339" s="43" t="s">
        <v>176</v>
      </c>
      <c r="C339" s="66" t="s">
        <v>380</v>
      </c>
      <c r="D339" s="66" t="s">
        <v>146</v>
      </c>
      <c r="E339" s="66" t="s">
        <v>79</v>
      </c>
      <c r="F339" s="66" t="s">
        <v>211</v>
      </c>
      <c r="G339" s="188">
        <f aca="true" t="shared" si="20" ref="G339:G349">H339+I339</f>
        <v>1424.3300000000002</v>
      </c>
      <c r="H339" s="188">
        <f>H340</f>
        <v>1424.3300000000002</v>
      </c>
      <c r="I339" s="188">
        <f>I340</f>
        <v>0</v>
      </c>
    </row>
    <row r="340" spans="1:9" ht="15">
      <c r="A340" s="35" t="s">
        <v>212</v>
      </c>
      <c r="B340" s="43" t="s">
        <v>176</v>
      </c>
      <c r="C340" s="66" t="s">
        <v>380</v>
      </c>
      <c r="D340" s="66" t="s">
        <v>146</v>
      </c>
      <c r="E340" s="66" t="s">
        <v>79</v>
      </c>
      <c r="F340" s="66" t="s">
        <v>287</v>
      </c>
      <c r="G340" s="188">
        <f t="shared" si="20"/>
        <v>1424.3300000000002</v>
      </c>
      <c r="H340" s="188">
        <f>1181.43+25+217.9</f>
        <v>1424.3300000000002</v>
      </c>
      <c r="I340" s="188"/>
    </row>
    <row r="341" spans="1:9" ht="75" hidden="1">
      <c r="A341" s="35" t="s">
        <v>441</v>
      </c>
      <c r="B341" s="43" t="s">
        <v>176</v>
      </c>
      <c r="C341" s="66" t="s">
        <v>380</v>
      </c>
      <c r="D341" s="66" t="s">
        <v>146</v>
      </c>
      <c r="E341" s="66" t="s">
        <v>440</v>
      </c>
      <c r="F341" s="66" t="s">
        <v>409</v>
      </c>
      <c r="G341" s="188">
        <f t="shared" si="20"/>
        <v>0</v>
      </c>
      <c r="H341" s="188"/>
      <c r="I341" s="188">
        <f>I342</f>
        <v>0</v>
      </c>
    </row>
    <row r="342" spans="1:9" ht="45" hidden="1">
      <c r="A342" s="35" t="s">
        <v>210</v>
      </c>
      <c r="B342" s="43" t="s">
        <v>176</v>
      </c>
      <c r="C342" s="66" t="s">
        <v>380</v>
      </c>
      <c r="D342" s="66" t="s">
        <v>146</v>
      </c>
      <c r="E342" s="66" t="s">
        <v>440</v>
      </c>
      <c r="F342" s="66" t="s">
        <v>211</v>
      </c>
      <c r="G342" s="188">
        <f t="shared" si="20"/>
        <v>0</v>
      </c>
      <c r="H342" s="188"/>
      <c r="I342" s="188">
        <f>I343</f>
        <v>0</v>
      </c>
    </row>
    <row r="343" spans="1:9" ht="15" hidden="1">
      <c r="A343" s="35" t="s">
        <v>212</v>
      </c>
      <c r="B343" s="43" t="s">
        <v>176</v>
      </c>
      <c r="C343" s="66" t="s">
        <v>380</v>
      </c>
      <c r="D343" s="66" t="s">
        <v>146</v>
      </c>
      <c r="E343" s="66" t="s">
        <v>440</v>
      </c>
      <c r="F343" s="66" t="s">
        <v>287</v>
      </c>
      <c r="G343" s="188">
        <f t="shared" si="20"/>
        <v>0</v>
      </c>
      <c r="H343" s="188"/>
      <c r="I343" s="188"/>
    </row>
    <row r="344" spans="1:10" ht="30">
      <c r="A344" s="35" t="s">
        <v>5</v>
      </c>
      <c r="B344" s="43">
        <v>951</v>
      </c>
      <c r="C344" s="66" t="s">
        <v>380</v>
      </c>
      <c r="D344" s="66" t="s">
        <v>157</v>
      </c>
      <c r="E344" s="66" t="s">
        <v>320</v>
      </c>
      <c r="F344" s="66" t="s">
        <v>409</v>
      </c>
      <c r="G344" s="188">
        <f t="shared" si="20"/>
        <v>1291.1302</v>
      </c>
      <c r="H344" s="188">
        <f>H345+H359+H361+H356+H364</f>
        <v>1091.1302</v>
      </c>
      <c r="I344" s="188">
        <f>I345+I359+I361+I356+I364</f>
        <v>200</v>
      </c>
      <c r="J344" s="554"/>
    </row>
    <row r="345" spans="1:9" ht="45" customHeight="1">
      <c r="A345" s="59" t="s">
        <v>478</v>
      </c>
      <c r="B345" s="43">
        <v>952</v>
      </c>
      <c r="C345" s="66" t="s">
        <v>380</v>
      </c>
      <c r="D345" s="66" t="s">
        <v>157</v>
      </c>
      <c r="E345" s="66" t="s">
        <v>928</v>
      </c>
      <c r="F345" s="66" t="s">
        <v>409</v>
      </c>
      <c r="G345" s="188">
        <f t="shared" si="20"/>
        <v>1219.9302</v>
      </c>
      <c r="H345" s="188">
        <f>H346+H349</f>
        <v>1019.9302</v>
      </c>
      <c r="I345" s="188">
        <f>I346+I349</f>
        <v>200</v>
      </c>
    </row>
    <row r="346" spans="1:9" ht="37.5" customHeight="1">
      <c r="A346" s="183" t="s">
        <v>540</v>
      </c>
      <c r="B346" s="43">
        <v>951</v>
      </c>
      <c r="C346" s="66" t="s">
        <v>380</v>
      </c>
      <c r="D346" s="66" t="s">
        <v>157</v>
      </c>
      <c r="E346" s="66" t="s">
        <v>80</v>
      </c>
      <c r="F346" s="66" t="s">
        <v>409</v>
      </c>
      <c r="G346" s="188">
        <f t="shared" si="20"/>
        <v>1017.91</v>
      </c>
      <c r="H346" s="188">
        <f>H347</f>
        <v>1017.91</v>
      </c>
      <c r="I346" s="188">
        <f>I347</f>
        <v>0</v>
      </c>
    </row>
    <row r="347" spans="1:9" ht="45.75" customHeight="1">
      <c r="A347" s="35" t="s">
        <v>210</v>
      </c>
      <c r="B347" s="43">
        <v>951</v>
      </c>
      <c r="C347" s="66" t="s">
        <v>380</v>
      </c>
      <c r="D347" s="66" t="s">
        <v>157</v>
      </c>
      <c r="E347" s="66" t="s">
        <v>80</v>
      </c>
      <c r="F347" s="66" t="s">
        <v>211</v>
      </c>
      <c r="G347" s="188">
        <f t="shared" si="20"/>
        <v>1017.91</v>
      </c>
      <c r="H347" s="188">
        <f>H348</f>
        <v>1017.91</v>
      </c>
      <c r="I347" s="188">
        <f>I348</f>
        <v>0</v>
      </c>
    </row>
    <row r="348" spans="1:9" ht="16.5" customHeight="1">
      <c r="A348" s="35" t="s">
        <v>212</v>
      </c>
      <c r="B348" s="43">
        <v>951</v>
      </c>
      <c r="C348" s="66" t="s">
        <v>380</v>
      </c>
      <c r="D348" s="66" t="s">
        <v>157</v>
      </c>
      <c r="E348" s="66" t="s">
        <v>80</v>
      </c>
      <c r="F348" s="66" t="s">
        <v>287</v>
      </c>
      <c r="G348" s="188">
        <f t="shared" si="20"/>
        <v>1017.91</v>
      </c>
      <c r="H348" s="188">
        <f>897.91+20+100</f>
        <v>1017.91</v>
      </c>
      <c r="I348" s="188"/>
    </row>
    <row r="349" spans="1:9" ht="43.5" customHeight="1">
      <c r="A349" s="181" t="s">
        <v>918</v>
      </c>
      <c r="B349" s="198" t="s">
        <v>176</v>
      </c>
      <c r="C349" s="182" t="s">
        <v>380</v>
      </c>
      <c r="D349" s="182" t="s">
        <v>157</v>
      </c>
      <c r="E349" s="182" t="s">
        <v>75</v>
      </c>
      <c r="F349" s="182" t="s">
        <v>409</v>
      </c>
      <c r="G349" s="217">
        <f t="shared" si="20"/>
        <v>202.0202</v>
      </c>
      <c r="H349" s="217">
        <f>H353</f>
        <v>2.0202</v>
      </c>
      <c r="I349" s="217">
        <f>I350</f>
        <v>200</v>
      </c>
    </row>
    <row r="350" spans="1:9" ht="55.5" customHeight="1">
      <c r="A350" s="35" t="s">
        <v>919</v>
      </c>
      <c r="B350" s="43" t="s">
        <v>176</v>
      </c>
      <c r="C350" s="66" t="s">
        <v>380</v>
      </c>
      <c r="D350" s="66" t="s">
        <v>157</v>
      </c>
      <c r="E350" s="66" t="s">
        <v>921</v>
      </c>
      <c r="F350" s="66" t="s">
        <v>409</v>
      </c>
      <c r="G350" s="188">
        <f aca="true" t="shared" si="21" ref="G350:G355">H350+I350</f>
        <v>200</v>
      </c>
      <c r="H350" s="188"/>
      <c r="I350" s="188">
        <f>I351</f>
        <v>200</v>
      </c>
    </row>
    <row r="351" spans="1:9" ht="45" customHeight="1">
      <c r="A351" s="35" t="s">
        <v>210</v>
      </c>
      <c r="B351" s="43" t="s">
        <v>176</v>
      </c>
      <c r="C351" s="66" t="s">
        <v>380</v>
      </c>
      <c r="D351" s="66" t="s">
        <v>157</v>
      </c>
      <c r="E351" s="66" t="s">
        <v>921</v>
      </c>
      <c r="F351" s="66" t="s">
        <v>211</v>
      </c>
      <c r="G351" s="188">
        <f t="shared" si="21"/>
        <v>200</v>
      </c>
      <c r="H351" s="188"/>
      <c r="I351" s="188">
        <f>I352</f>
        <v>200</v>
      </c>
    </row>
    <row r="352" spans="1:9" ht="20.25" customHeight="1">
      <c r="A352" s="35" t="s">
        <v>212</v>
      </c>
      <c r="B352" s="43" t="s">
        <v>176</v>
      </c>
      <c r="C352" s="66" t="s">
        <v>380</v>
      </c>
      <c r="D352" s="66" t="s">
        <v>157</v>
      </c>
      <c r="E352" s="66" t="s">
        <v>921</v>
      </c>
      <c r="F352" s="66" t="s">
        <v>287</v>
      </c>
      <c r="G352" s="188">
        <f t="shared" si="21"/>
        <v>200</v>
      </c>
      <c r="H352" s="188"/>
      <c r="I352" s="188">
        <v>200</v>
      </c>
    </row>
    <row r="353" spans="1:9" ht="75.75" customHeight="1">
      <c r="A353" s="35" t="s">
        <v>920</v>
      </c>
      <c r="B353" s="43" t="s">
        <v>176</v>
      </c>
      <c r="C353" s="66" t="s">
        <v>380</v>
      </c>
      <c r="D353" s="66" t="s">
        <v>157</v>
      </c>
      <c r="E353" s="66" t="s">
        <v>922</v>
      </c>
      <c r="F353" s="66" t="s">
        <v>409</v>
      </c>
      <c r="G353" s="188">
        <f t="shared" si="21"/>
        <v>2.0202</v>
      </c>
      <c r="H353" s="188">
        <f>H354</f>
        <v>2.0202</v>
      </c>
      <c r="I353" s="188"/>
    </row>
    <row r="354" spans="1:9" ht="42.75" customHeight="1">
      <c r="A354" s="35" t="s">
        <v>210</v>
      </c>
      <c r="B354" s="43" t="s">
        <v>176</v>
      </c>
      <c r="C354" s="66" t="s">
        <v>380</v>
      </c>
      <c r="D354" s="66" t="s">
        <v>157</v>
      </c>
      <c r="E354" s="66" t="s">
        <v>922</v>
      </c>
      <c r="F354" s="66" t="s">
        <v>211</v>
      </c>
      <c r="G354" s="188">
        <f t="shared" si="21"/>
        <v>2.0202</v>
      </c>
      <c r="H354" s="188">
        <f>H355</f>
        <v>2.0202</v>
      </c>
      <c r="I354" s="188"/>
    </row>
    <row r="355" spans="1:9" ht="21" customHeight="1">
      <c r="A355" s="35" t="s">
        <v>212</v>
      </c>
      <c r="B355" s="43" t="s">
        <v>176</v>
      </c>
      <c r="C355" s="66" t="s">
        <v>380</v>
      </c>
      <c r="D355" s="66" t="s">
        <v>157</v>
      </c>
      <c r="E355" s="66" t="s">
        <v>922</v>
      </c>
      <c r="F355" s="66" t="s">
        <v>287</v>
      </c>
      <c r="G355" s="188">
        <f t="shared" si="21"/>
        <v>2.0202</v>
      </c>
      <c r="H355" s="188">
        <v>2.0202</v>
      </c>
      <c r="I355" s="188"/>
    </row>
    <row r="356" spans="1:9" ht="45">
      <c r="A356" s="110" t="s">
        <v>473</v>
      </c>
      <c r="B356" s="175">
        <v>951</v>
      </c>
      <c r="C356" s="115" t="s">
        <v>380</v>
      </c>
      <c r="D356" s="115" t="s">
        <v>157</v>
      </c>
      <c r="E356" s="115" t="s">
        <v>29</v>
      </c>
      <c r="F356" s="115" t="s">
        <v>409</v>
      </c>
      <c r="G356" s="218">
        <f aca="true" t="shared" si="22" ref="G356:G375">H356+I356</f>
        <v>39</v>
      </c>
      <c r="H356" s="218">
        <f>H357</f>
        <v>39</v>
      </c>
      <c r="I356" s="218">
        <f>I357</f>
        <v>0</v>
      </c>
    </row>
    <row r="357" spans="1:9" ht="30">
      <c r="A357" s="35" t="s">
        <v>81</v>
      </c>
      <c r="B357" s="43">
        <v>951</v>
      </c>
      <c r="C357" s="66" t="s">
        <v>380</v>
      </c>
      <c r="D357" s="66" t="s">
        <v>157</v>
      </c>
      <c r="E357" s="66" t="s">
        <v>498</v>
      </c>
      <c r="F357" s="66" t="s">
        <v>409</v>
      </c>
      <c r="G357" s="188">
        <f t="shared" si="22"/>
        <v>39</v>
      </c>
      <c r="H357" s="188">
        <f>H358</f>
        <v>39</v>
      </c>
      <c r="I357" s="188">
        <f>I358</f>
        <v>0</v>
      </c>
    </row>
    <row r="358" spans="1:9" ht="15">
      <c r="A358" s="35" t="s">
        <v>212</v>
      </c>
      <c r="B358" s="43">
        <v>951</v>
      </c>
      <c r="C358" s="66" t="s">
        <v>380</v>
      </c>
      <c r="D358" s="66" t="s">
        <v>157</v>
      </c>
      <c r="E358" s="66" t="s">
        <v>82</v>
      </c>
      <c r="F358" s="66" t="s">
        <v>287</v>
      </c>
      <c r="G358" s="188">
        <f t="shared" si="22"/>
        <v>39</v>
      </c>
      <c r="H358" s="188">
        <v>39</v>
      </c>
      <c r="I358" s="188"/>
    </row>
    <row r="359" spans="1:9" ht="60">
      <c r="A359" s="110" t="s">
        <v>475</v>
      </c>
      <c r="B359" s="175">
        <v>951</v>
      </c>
      <c r="C359" s="115" t="s">
        <v>380</v>
      </c>
      <c r="D359" s="115" t="s">
        <v>157</v>
      </c>
      <c r="E359" s="115" t="s">
        <v>70</v>
      </c>
      <c r="F359" s="115" t="s">
        <v>409</v>
      </c>
      <c r="G359" s="218">
        <f t="shared" si="22"/>
        <v>2</v>
      </c>
      <c r="H359" s="218">
        <f>H360</f>
        <v>2</v>
      </c>
      <c r="I359" s="218">
        <f>I360</f>
        <v>0</v>
      </c>
    </row>
    <row r="360" spans="1:9" ht="30">
      <c r="A360" s="42" t="s">
        <v>340</v>
      </c>
      <c r="B360" s="43">
        <v>951</v>
      </c>
      <c r="C360" s="66" t="s">
        <v>380</v>
      </c>
      <c r="D360" s="66" t="s">
        <v>157</v>
      </c>
      <c r="E360" s="66" t="s">
        <v>83</v>
      </c>
      <c r="F360" s="66" t="s">
        <v>287</v>
      </c>
      <c r="G360" s="188">
        <f t="shared" si="22"/>
        <v>2</v>
      </c>
      <c r="H360" s="188">
        <v>2</v>
      </c>
      <c r="I360" s="188"/>
    </row>
    <row r="361" spans="1:9" ht="60" hidden="1">
      <c r="A361" s="110" t="s">
        <v>285</v>
      </c>
      <c r="B361" s="43">
        <v>952</v>
      </c>
      <c r="C361" s="66" t="s">
        <v>380</v>
      </c>
      <c r="D361" s="66" t="s">
        <v>157</v>
      </c>
      <c r="E361" s="115" t="s">
        <v>39</v>
      </c>
      <c r="F361" s="115" t="s">
        <v>409</v>
      </c>
      <c r="G361" s="218">
        <f t="shared" si="22"/>
        <v>0</v>
      </c>
      <c r="H361" s="218">
        <f>H362</f>
        <v>0</v>
      </c>
      <c r="I361" s="218">
        <f>I362+I363</f>
        <v>0</v>
      </c>
    </row>
    <row r="362" spans="1:9" ht="15" hidden="1">
      <c r="A362" s="35" t="s">
        <v>212</v>
      </c>
      <c r="B362" s="43">
        <v>953</v>
      </c>
      <c r="C362" s="66" t="s">
        <v>380</v>
      </c>
      <c r="D362" s="66" t="s">
        <v>157</v>
      </c>
      <c r="E362" s="82" t="s">
        <v>500</v>
      </c>
      <c r="F362" s="66" t="s">
        <v>287</v>
      </c>
      <c r="G362" s="188">
        <f t="shared" si="22"/>
        <v>0</v>
      </c>
      <c r="H362" s="315"/>
      <c r="I362" s="188"/>
    </row>
    <row r="363" spans="1:9" ht="30" hidden="1">
      <c r="A363" s="35" t="s">
        <v>508</v>
      </c>
      <c r="B363" s="43">
        <v>954</v>
      </c>
      <c r="C363" s="66" t="s">
        <v>380</v>
      </c>
      <c r="D363" s="66" t="s">
        <v>157</v>
      </c>
      <c r="E363" s="124" t="s">
        <v>500</v>
      </c>
      <c r="F363" s="66" t="s">
        <v>287</v>
      </c>
      <c r="G363" s="188">
        <f t="shared" si="22"/>
        <v>0</v>
      </c>
      <c r="H363" s="188">
        <v>0</v>
      </c>
      <c r="I363" s="188"/>
    </row>
    <row r="364" spans="1:9" ht="73.5" customHeight="1">
      <c r="A364" s="110" t="s">
        <v>529</v>
      </c>
      <c r="B364" s="175">
        <v>951</v>
      </c>
      <c r="C364" s="115" t="s">
        <v>380</v>
      </c>
      <c r="D364" s="115" t="s">
        <v>157</v>
      </c>
      <c r="E364" s="115" t="s">
        <v>527</v>
      </c>
      <c r="F364" s="115" t="s">
        <v>409</v>
      </c>
      <c r="G364" s="218">
        <f t="shared" si="22"/>
        <v>30.2</v>
      </c>
      <c r="H364" s="218">
        <f>H365</f>
        <v>30.2</v>
      </c>
      <c r="I364" s="218"/>
    </row>
    <row r="365" spans="1:9" ht="42.75" customHeight="1">
      <c r="A365" s="35" t="s">
        <v>210</v>
      </c>
      <c r="B365" s="43">
        <v>951</v>
      </c>
      <c r="C365" s="66" t="s">
        <v>380</v>
      </c>
      <c r="D365" s="66" t="s">
        <v>157</v>
      </c>
      <c r="E365" s="66" t="s">
        <v>882</v>
      </c>
      <c r="F365" s="66" t="s">
        <v>211</v>
      </c>
      <c r="G365" s="188">
        <f t="shared" si="22"/>
        <v>30.2</v>
      </c>
      <c r="H365" s="188">
        <f>H366</f>
        <v>30.2</v>
      </c>
      <c r="I365" s="188"/>
    </row>
    <row r="366" spans="1:9" ht="19.5" customHeight="1">
      <c r="A366" s="35" t="s">
        <v>212</v>
      </c>
      <c r="B366" s="43">
        <v>951</v>
      </c>
      <c r="C366" s="66" t="s">
        <v>380</v>
      </c>
      <c r="D366" s="66" t="s">
        <v>157</v>
      </c>
      <c r="E366" s="66" t="s">
        <v>882</v>
      </c>
      <c r="F366" s="66" t="s">
        <v>287</v>
      </c>
      <c r="G366" s="188">
        <f t="shared" si="22"/>
        <v>30.2</v>
      </c>
      <c r="H366" s="188">
        <v>30.2</v>
      </c>
      <c r="I366" s="188"/>
    </row>
    <row r="367" spans="1:9" ht="19.5" customHeight="1">
      <c r="A367" s="240" t="s">
        <v>228</v>
      </c>
      <c r="B367" s="456">
        <v>951</v>
      </c>
      <c r="C367" s="465" t="s">
        <v>229</v>
      </c>
      <c r="D367" s="465" t="s">
        <v>147</v>
      </c>
      <c r="E367" s="465" t="s">
        <v>320</v>
      </c>
      <c r="F367" s="465" t="s">
        <v>409</v>
      </c>
      <c r="G367" s="249">
        <f t="shared" si="22"/>
        <v>35626.878</v>
      </c>
      <c r="H367" s="249">
        <f>H368+H373+H379</f>
        <v>967.6</v>
      </c>
      <c r="I367" s="249">
        <f>I368+I373+I379</f>
        <v>34659.278</v>
      </c>
    </row>
    <row r="368" spans="1:9" ht="16.5" customHeight="1">
      <c r="A368" s="176" t="s">
        <v>140</v>
      </c>
      <c r="B368" s="200">
        <v>951</v>
      </c>
      <c r="C368" s="174" t="s">
        <v>229</v>
      </c>
      <c r="D368" s="174" t="s">
        <v>146</v>
      </c>
      <c r="E368" s="174" t="s">
        <v>320</v>
      </c>
      <c r="F368" s="174" t="s">
        <v>409</v>
      </c>
      <c r="G368" s="201">
        <f t="shared" si="22"/>
        <v>767.6</v>
      </c>
      <c r="H368" s="201">
        <f aca="true" t="shared" si="23" ref="H368:I371">H369</f>
        <v>767.6</v>
      </c>
      <c r="I368" s="201">
        <f t="shared" si="23"/>
        <v>0</v>
      </c>
    </row>
    <row r="369" spans="1:9" ht="31.5" customHeight="1">
      <c r="A369" s="42" t="s">
        <v>596</v>
      </c>
      <c r="B369" s="43">
        <v>951</v>
      </c>
      <c r="C369" s="82" t="s">
        <v>229</v>
      </c>
      <c r="D369" s="82" t="s">
        <v>146</v>
      </c>
      <c r="E369" s="82" t="s">
        <v>84</v>
      </c>
      <c r="F369" s="82" t="s">
        <v>409</v>
      </c>
      <c r="G369" s="188">
        <f t="shared" si="22"/>
        <v>767.6</v>
      </c>
      <c r="H369" s="188">
        <f t="shared" si="23"/>
        <v>767.6</v>
      </c>
      <c r="I369" s="188">
        <f t="shared" si="23"/>
        <v>0</v>
      </c>
    </row>
    <row r="370" spans="1:9" ht="43.5" customHeight="1">
      <c r="A370" s="42" t="s">
        <v>141</v>
      </c>
      <c r="B370" s="43">
        <v>951</v>
      </c>
      <c r="C370" s="82" t="s">
        <v>229</v>
      </c>
      <c r="D370" s="82" t="s">
        <v>146</v>
      </c>
      <c r="E370" s="82" t="s">
        <v>84</v>
      </c>
      <c r="F370" s="82" t="s">
        <v>409</v>
      </c>
      <c r="G370" s="188">
        <f t="shared" si="22"/>
        <v>767.6</v>
      </c>
      <c r="H370" s="188">
        <f t="shared" si="23"/>
        <v>767.6</v>
      </c>
      <c r="I370" s="188">
        <f t="shared" si="23"/>
        <v>0</v>
      </c>
    </row>
    <row r="371" spans="1:9" ht="30">
      <c r="A371" s="42" t="s">
        <v>201</v>
      </c>
      <c r="B371" s="43">
        <v>951</v>
      </c>
      <c r="C371" s="82" t="s">
        <v>229</v>
      </c>
      <c r="D371" s="82" t="s">
        <v>146</v>
      </c>
      <c r="E371" s="82" t="s">
        <v>84</v>
      </c>
      <c r="F371" s="82" t="s">
        <v>156</v>
      </c>
      <c r="G371" s="188">
        <f t="shared" si="22"/>
        <v>767.6</v>
      </c>
      <c r="H371" s="188">
        <f t="shared" si="23"/>
        <v>767.6</v>
      </c>
      <c r="I371" s="188">
        <f t="shared" si="23"/>
        <v>0</v>
      </c>
    </row>
    <row r="372" spans="1:9" ht="30" customHeight="1">
      <c r="A372" s="42" t="s">
        <v>202</v>
      </c>
      <c r="B372" s="43">
        <v>951</v>
      </c>
      <c r="C372" s="82" t="s">
        <v>229</v>
      </c>
      <c r="D372" s="82" t="s">
        <v>146</v>
      </c>
      <c r="E372" s="82" t="s">
        <v>84</v>
      </c>
      <c r="F372" s="82" t="s">
        <v>203</v>
      </c>
      <c r="G372" s="188">
        <f t="shared" si="22"/>
        <v>767.6</v>
      </c>
      <c r="H372" s="272">
        <f>683+84.6</f>
        <v>767.6</v>
      </c>
      <c r="I372" s="188"/>
    </row>
    <row r="373" spans="1:9" ht="17.25" customHeight="1">
      <c r="A373" s="228" t="s">
        <v>597</v>
      </c>
      <c r="B373" s="457">
        <v>951</v>
      </c>
      <c r="C373" s="458" t="s">
        <v>229</v>
      </c>
      <c r="D373" s="458" t="s">
        <v>153</v>
      </c>
      <c r="E373" s="458" t="s">
        <v>320</v>
      </c>
      <c r="F373" s="458" t="s">
        <v>409</v>
      </c>
      <c r="G373" s="307">
        <f t="shared" si="22"/>
        <v>200</v>
      </c>
      <c r="H373" s="307">
        <f>H374+H376</f>
        <v>200</v>
      </c>
      <c r="I373" s="307">
        <f>I374</f>
        <v>0</v>
      </c>
    </row>
    <row r="374" spans="1:9" ht="50.25" customHeight="1">
      <c r="A374" s="110" t="s">
        <v>850</v>
      </c>
      <c r="B374" s="43">
        <v>951</v>
      </c>
      <c r="C374" s="115" t="s">
        <v>229</v>
      </c>
      <c r="D374" s="115" t="s">
        <v>153</v>
      </c>
      <c r="E374" s="115" t="s">
        <v>85</v>
      </c>
      <c r="F374" s="115" t="s">
        <v>409</v>
      </c>
      <c r="G374" s="218">
        <f t="shared" si="22"/>
        <v>200</v>
      </c>
      <c r="H374" s="218">
        <f>H375</f>
        <v>200</v>
      </c>
      <c r="I374" s="218">
        <f>I375</f>
        <v>0</v>
      </c>
    </row>
    <row r="375" spans="1:9" ht="29.25" customHeight="1">
      <c r="A375" s="35" t="s">
        <v>204</v>
      </c>
      <c r="B375" s="43">
        <v>951</v>
      </c>
      <c r="C375" s="66" t="s">
        <v>229</v>
      </c>
      <c r="D375" s="66" t="s">
        <v>153</v>
      </c>
      <c r="E375" s="66" t="s">
        <v>86</v>
      </c>
      <c r="F375" s="66" t="s">
        <v>205</v>
      </c>
      <c r="G375" s="188">
        <f t="shared" si="22"/>
        <v>200</v>
      </c>
      <c r="H375" s="188">
        <v>200</v>
      </c>
      <c r="I375" s="188"/>
    </row>
    <row r="376" spans="1:9" ht="17.25" customHeight="1" hidden="1">
      <c r="A376" s="383" t="s">
        <v>545</v>
      </c>
      <c r="B376" s="200">
        <v>952</v>
      </c>
      <c r="C376" s="66" t="s">
        <v>229</v>
      </c>
      <c r="D376" s="66" t="s">
        <v>153</v>
      </c>
      <c r="E376" s="174" t="s">
        <v>320</v>
      </c>
      <c r="F376" s="174" t="s">
        <v>409</v>
      </c>
      <c r="G376" s="201">
        <f>H376</f>
        <v>0</v>
      </c>
      <c r="H376" s="201">
        <f>H377</f>
        <v>0</v>
      </c>
      <c r="I376" s="201"/>
    </row>
    <row r="377" spans="1:9" ht="29.25" customHeight="1" hidden="1">
      <c r="A377" s="35" t="s">
        <v>201</v>
      </c>
      <c r="B377" s="43">
        <v>953</v>
      </c>
      <c r="C377" s="66" t="s">
        <v>229</v>
      </c>
      <c r="D377" s="66" t="s">
        <v>153</v>
      </c>
      <c r="E377" s="66" t="s">
        <v>546</v>
      </c>
      <c r="F377" s="66" t="s">
        <v>156</v>
      </c>
      <c r="G377" s="188">
        <f>H377</f>
        <v>0</v>
      </c>
      <c r="H377" s="188">
        <f>H378</f>
        <v>0</v>
      </c>
      <c r="I377" s="188"/>
    </row>
    <row r="378" spans="1:9" ht="29.25" customHeight="1" hidden="1">
      <c r="A378" s="35" t="s">
        <v>204</v>
      </c>
      <c r="B378" s="43">
        <v>954</v>
      </c>
      <c r="C378" s="66" t="s">
        <v>229</v>
      </c>
      <c r="D378" s="66" t="s">
        <v>153</v>
      </c>
      <c r="E378" s="66" t="s">
        <v>546</v>
      </c>
      <c r="F378" s="66" t="s">
        <v>205</v>
      </c>
      <c r="G378" s="188">
        <f>H378</f>
        <v>0</v>
      </c>
      <c r="H378" s="188"/>
      <c r="I378" s="188"/>
    </row>
    <row r="379" spans="1:9" ht="19.5" customHeight="1">
      <c r="A379" s="228" t="s">
        <v>402</v>
      </c>
      <c r="B379" s="457">
        <v>951</v>
      </c>
      <c r="C379" s="458" t="s">
        <v>229</v>
      </c>
      <c r="D379" s="458" t="s">
        <v>157</v>
      </c>
      <c r="E379" s="458" t="s">
        <v>320</v>
      </c>
      <c r="F379" s="458" t="s">
        <v>409</v>
      </c>
      <c r="G379" s="307">
        <f>H379+I379</f>
        <v>34659.278</v>
      </c>
      <c r="H379" s="307">
        <f>H380</f>
        <v>0</v>
      </c>
      <c r="I379" s="307">
        <f>I380</f>
        <v>34659.278</v>
      </c>
    </row>
    <row r="380" spans="1:11" s="48" customFormat="1" ht="123" customHeight="1">
      <c r="A380" s="384" t="s">
        <v>876</v>
      </c>
      <c r="B380" s="476">
        <v>951</v>
      </c>
      <c r="C380" s="376" t="s">
        <v>229</v>
      </c>
      <c r="D380" s="376" t="s">
        <v>157</v>
      </c>
      <c r="E380" s="376" t="s">
        <v>799</v>
      </c>
      <c r="F380" s="376" t="s">
        <v>409</v>
      </c>
      <c r="G380" s="374">
        <f>H380+I380</f>
        <v>34659.278</v>
      </c>
      <c r="H380" s="374">
        <f>H381+H386+H392</f>
        <v>0</v>
      </c>
      <c r="I380" s="374">
        <f>I381+I386+I392</f>
        <v>34659.278</v>
      </c>
      <c r="K380" s="187"/>
    </row>
    <row r="381" spans="1:9" ht="58.5" customHeight="1">
      <c r="A381" s="111" t="s">
        <v>621</v>
      </c>
      <c r="B381" s="175">
        <v>951</v>
      </c>
      <c r="C381" s="115" t="s">
        <v>229</v>
      </c>
      <c r="D381" s="115" t="s">
        <v>157</v>
      </c>
      <c r="E381" s="115" t="s">
        <v>805</v>
      </c>
      <c r="F381" s="115" t="s">
        <v>409</v>
      </c>
      <c r="G381" s="218">
        <f>I381</f>
        <v>21118.07693</v>
      </c>
      <c r="H381" s="218"/>
      <c r="I381" s="218">
        <f>I382+I384</f>
        <v>21118.07693</v>
      </c>
    </row>
    <row r="382" spans="1:9" ht="33.75" customHeight="1">
      <c r="A382" s="35" t="s">
        <v>187</v>
      </c>
      <c r="B382" s="43" t="s">
        <v>176</v>
      </c>
      <c r="C382" s="66" t="s">
        <v>229</v>
      </c>
      <c r="D382" s="66" t="s">
        <v>157</v>
      </c>
      <c r="E382" s="66" t="s">
        <v>805</v>
      </c>
      <c r="F382" s="66" t="s">
        <v>155</v>
      </c>
      <c r="G382" s="188">
        <f>H382+I382</f>
        <v>383.52</v>
      </c>
      <c r="H382" s="188"/>
      <c r="I382" s="188">
        <f>I383</f>
        <v>383.52</v>
      </c>
    </row>
    <row r="383" spans="1:9" ht="45.75" customHeight="1">
      <c r="A383" s="84" t="s">
        <v>188</v>
      </c>
      <c r="B383" s="43" t="s">
        <v>176</v>
      </c>
      <c r="C383" s="66" t="s">
        <v>229</v>
      </c>
      <c r="D383" s="66" t="s">
        <v>157</v>
      </c>
      <c r="E383" s="66" t="s">
        <v>805</v>
      </c>
      <c r="F383" s="66" t="s">
        <v>189</v>
      </c>
      <c r="G383" s="188">
        <f>H383+I383</f>
        <v>383.52</v>
      </c>
      <c r="H383" s="188"/>
      <c r="I383" s="188">
        <v>383.52</v>
      </c>
    </row>
    <row r="384" spans="1:9" ht="42" customHeight="1">
      <c r="A384" s="84" t="s">
        <v>599</v>
      </c>
      <c r="B384" s="43">
        <v>951</v>
      </c>
      <c r="C384" s="66" t="s">
        <v>229</v>
      </c>
      <c r="D384" s="66" t="s">
        <v>157</v>
      </c>
      <c r="E384" s="66" t="s">
        <v>805</v>
      </c>
      <c r="F384" s="66" t="s">
        <v>600</v>
      </c>
      <c r="G384" s="188">
        <f>I384</f>
        <v>20734.55693</v>
      </c>
      <c r="H384" s="188"/>
      <c r="I384" s="188">
        <f>I385</f>
        <v>20734.55693</v>
      </c>
    </row>
    <row r="385" spans="1:9" ht="16.5" customHeight="1">
      <c r="A385" s="84" t="s">
        <v>601</v>
      </c>
      <c r="B385" s="43">
        <v>951</v>
      </c>
      <c r="C385" s="66" t="s">
        <v>229</v>
      </c>
      <c r="D385" s="66" t="s">
        <v>157</v>
      </c>
      <c r="E385" s="66" t="s">
        <v>805</v>
      </c>
      <c r="F385" s="66" t="s">
        <v>602</v>
      </c>
      <c r="G385" s="188">
        <f>I385</f>
        <v>20734.55693</v>
      </c>
      <c r="H385" s="188"/>
      <c r="I385" s="188">
        <f>21118.07693-383.52</f>
        <v>20734.55693</v>
      </c>
    </row>
    <row r="386" spans="1:11" ht="103.5" customHeight="1">
      <c r="A386" s="357" t="s">
        <v>677</v>
      </c>
      <c r="B386" s="387">
        <v>951</v>
      </c>
      <c r="C386" s="375" t="s">
        <v>229</v>
      </c>
      <c r="D386" s="375" t="s">
        <v>157</v>
      </c>
      <c r="E386" s="375" t="s">
        <v>803</v>
      </c>
      <c r="F386" s="358" t="s">
        <v>409</v>
      </c>
      <c r="G386" s="359">
        <f aca="true" t="shared" si="24" ref="G386:G391">H386+I386</f>
        <v>13010.91856</v>
      </c>
      <c r="H386" s="359"/>
      <c r="I386" s="359">
        <f>I387+I389</f>
        <v>13010.91856</v>
      </c>
      <c r="K386" s="554"/>
    </row>
    <row r="387" spans="1:9" ht="39" customHeight="1">
      <c r="A387" s="35" t="s">
        <v>187</v>
      </c>
      <c r="B387" s="43" t="s">
        <v>176</v>
      </c>
      <c r="C387" s="66" t="s">
        <v>229</v>
      </c>
      <c r="D387" s="66" t="s">
        <v>157</v>
      </c>
      <c r="E387" s="66" t="s">
        <v>803</v>
      </c>
      <c r="F387" s="66" t="s">
        <v>155</v>
      </c>
      <c r="G387" s="188">
        <f>I387</f>
        <v>150</v>
      </c>
      <c r="H387" s="188"/>
      <c r="I387" s="188">
        <f>I388</f>
        <v>150</v>
      </c>
    </row>
    <row r="388" spans="1:9" ht="42.75" customHeight="1">
      <c r="A388" s="84" t="s">
        <v>188</v>
      </c>
      <c r="B388" s="43" t="s">
        <v>176</v>
      </c>
      <c r="C388" s="66" t="s">
        <v>229</v>
      </c>
      <c r="D388" s="66" t="s">
        <v>157</v>
      </c>
      <c r="E388" s="66" t="s">
        <v>803</v>
      </c>
      <c r="F388" s="66" t="s">
        <v>189</v>
      </c>
      <c r="G388" s="188">
        <f>I388</f>
        <v>150</v>
      </c>
      <c r="H388" s="188"/>
      <c r="I388" s="188">
        <v>150</v>
      </c>
    </row>
    <row r="389" spans="1:9" ht="29.25" customHeight="1">
      <c r="A389" s="35" t="s">
        <v>201</v>
      </c>
      <c r="B389" s="43">
        <v>951</v>
      </c>
      <c r="C389" s="66" t="s">
        <v>229</v>
      </c>
      <c r="D389" s="66" t="s">
        <v>157</v>
      </c>
      <c r="E389" s="66" t="s">
        <v>803</v>
      </c>
      <c r="F389" s="66" t="s">
        <v>156</v>
      </c>
      <c r="G389" s="188">
        <f t="shared" si="24"/>
        <v>12860.91856</v>
      </c>
      <c r="H389" s="188"/>
      <c r="I389" s="272">
        <f>I390+I391</f>
        <v>12860.91856</v>
      </c>
    </row>
    <row r="390" spans="1:10" ht="42" customHeight="1">
      <c r="A390" s="35" t="s">
        <v>202</v>
      </c>
      <c r="B390" s="43" t="s">
        <v>176</v>
      </c>
      <c r="C390" s="66" t="s">
        <v>229</v>
      </c>
      <c r="D390" s="66" t="s">
        <v>157</v>
      </c>
      <c r="E390" s="66" t="s">
        <v>803</v>
      </c>
      <c r="F390" s="66" t="s">
        <v>203</v>
      </c>
      <c r="G390" s="188">
        <f t="shared" si="24"/>
        <v>8860.91856</v>
      </c>
      <c r="H390" s="188"/>
      <c r="I390" s="614">
        <f>10049.63122+600-1788.71266</f>
        <v>8860.91856</v>
      </c>
      <c r="J390" s="554"/>
    </row>
    <row r="391" spans="1:9" ht="42" customHeight="1">
      <c r="A391" s="35" t="s">
        <v>204</v>
      </c>
      <c r="B391" s="43">
        <v>951</v>
      </c>
      <c r="C391" s="66" t="s">
        <v>229</v>
      </c>
      <c r="D391" s="66" t="s">
        <v>157</v>
      </c>
      <c r="E391" s="66" t="s">
        <v>803</v>
      </c>
      <c r="F391" s="66" t="s">
        <v>205</v>
      </c>
      <c r="G391" s="188">
        <f t="shared" si="24"/>
        <v>4000</v>
      </c>
      <c r="H391" s="188"/>
      <c r="I391" s="272">
        <f>3600+400</f>
        <v>4000</v>
      </c>
    </row>
    <row r="392" spans="1:11" ht="85.5" customHeight="1">
      <c r="A392" s="357" t="s">
        <v>679</v>
      </c>
      <c r="B392" s="387">
        <v>951</v>
      </c>
      <c r="C392" s="375" t="s">
        <v>229</v>
      </c>
      <c r="D392" s="375" t="s">
        <v>157</v>
      </c>
      <c r="E392" s="375" t="s">
        <v>804</v>
      </c>
      <c r="F392" s="358" t="s">
        <v>409</v>
      </c>
      <c r="G392" s="359">
        <f>H392+I392</f>
        <v>530.28251</v>
      </c>
      <c r="H392" s="359"/>
      <c r="I392" s="359">
        <f>I393+I395</f>
        <v>530.28251</v>
      </c>
      <c r="K392" s="554"/>
    </row>
    <row r="393" spans="1:9" ht="30.75" customHeight="1">
      <c r="A393" s="35" t="s">
        <v>187</v>
      </c>
      <c r="B393" s="43" t="s">
        <v>176</v>
      </c>
      <c r="C393" s="66" t="s">
        <v>229</v>
      </c>
      <c r="D393" s="66" t="s">
        <v>157</v>
      </c>
      <c r="E393" s="66" t="s">
        <v>804</v>
      </c>
      <c r="F393" s="66" t="s">
        <v>155</v>
      </c>
      <c r="G393" s="188">
        <f>I393</f>
        <v>5</v>
      </c>
      <c r="H393" s="188"/>
      <c r="I393" s="188">
        <f>I394</f>
        <v>5</v>
      </c>
    </row>
    <row r="394" spans="1:9" ht="42.75" customHeight="1">
      <c r="A394" s="84" t="s">
        <v>188</v>
      </c>
      <c r="B394" s="43" t="s">
        <v>176</v>
      </c>
      <c r="C394" s="66" t="s">
        <v>229</v>
      </c>
      <c r="D394" s="66" t="s">
        <v>157</v>
      </c>
      <c r="E394" s="66" t="s">
        <v>804</v>
      </c>
      <c r="F394" s="66" t="s">
        <v>189</v>
      </c>
      <c r="G394" s="188">
        <f>I394</f>
        <v>5</v>
      </c>
      <c r="H394" s="188"/>
      <c r="I394" s="188">
        <v>5</v>
      </c>
    </row>
    <row r="395" spans="1:9" ht="29.25" customHeight="1">
      <c r="A395" s="42" t="s">
        <v>201</v>
      </c>
      <c r="B395" s="43">
        <v>951</v>
      </c>
      <c r="C395" s="66" t="s">
        <v>229</v>
      </c>
      <c r="D395" s="66" t="s">
        <v>157</v>
      </c>
      <c r="E395" s="66" t="s">
        <v>804</v>
      </c>
      <c r="F395" s="66" t="s">
        <v>156</v>
      </c>
      <c r="G395" s="188">
        <f aca="true" t="shared" si="25" ref="G395:G403">H395+I395</f>
        <v>525.28251</v>
      </c>
      <c r="H395" s="188"/>
      <c r="I395" s="188">
        <f>I396</f>
        <v>525.28251</v>
      </c>
    </row>
    <row r="396" spans="1:9" ht="29.25" customHeight="1">
      <c r="A396" s="35" t="s">
        <v>202</v>
      </c>
      <c r="B396" s="43">
        <v>951</v>
      </c>
      <c r="C396" s="66" t="s">
        <v>229</v>
      </c>
      <c r="D396" s="66" t="s">
        <v>157</v>
      </c>
      <c r="E396" s="66" t="s">
        <v>804</v>
      </c>
      <c r="F396" s="66" t="s">
        <v>203</v>
      </c>
      <c r="G396" s="188">
        <f t="shared" si="25"/>
        <v>525.28251</v>
      </c>
      <c r="H396" s="188"/>
      <c r="I396" s="188">
        <f>530.28251-5</f>
        <v>525.28251</v>
      </c>
    </row>
    <row r="397" spans="1:9" ht="14.25">
      <c r="A397" s="239" t="s">
        <v>232</v>
      </c>
      <c r="B397" s="456">
        <v>951</v>
      </c>
      <c r="C397" s="465" t="s">
        <v>164</v>
      </c>
      <c r="D397" s="465" t="s">
        <v>147</v>
      </c>
      <c r="E397" s="465" t="s">
        <v>320</v>
      </c>
      <c r="F397" s="465" t="s">
        <v>409</v>
      </c>
      <c r="G397" s="249">
        <f t="shared" si="25"/>
        <v>863</v>
      </c>
      <c r="H397" s="306">
        <f>H398</f>
        <v>863</v>
      </c>
      <c r="I397" s="306">
        <f aca="true" t="shared" si="26" ref="H397:I401">I398</f>
        <v>0</v>
      </c>
    </row>
    <row r="398" spans="1:9" ht="15">
      <c r="A398" s="42" t="s">
        <v>345</v>
      </c>
      <c r="B398" s="43">
        <v>951</v>
      </c>
      <c r="C398" s="82" t="s">
        <v>164</v>
      </c>
      <c r="D398" s="82" t="s">
        <v>148</v>
      </c>
      <c r="E398" s="82" t="s">
        <v>320</v>
      </c>
      <c r="F398" s="82" t="s">
        <v>409</v>
      </c>
      <c r="G398" s="188">
        <f t="shared" si="25"/>
        <v>863</v>
      </c>
      <c r="H398" s="188">
        <f t="shared" si="26"/>
        <v>863</v>
      </c>
      <c r="I398" s="188">
        <f t="shared" si="26"/>
        <v>0</v>
      </c>
    </row>
    <row r="399" spans="1:9" ht="43.5" customHeight="1">
      <c r="A399" s="110" t="s">
        <v>479</v>
      </c>
      <c r="B399" s="175">
        <v>951</v>
      </c>
      <c r="C399" s="115" t="s">
        <v>164</v>
      </c>
      <c r="D399" s="115" t="s">
        <v>148</v>
      </c>
      <c r="E399" s="115" t="s">
        <v>89</v>
      </c>
      <c r="F399" s="115" t="s">
        <v>409</v>
      </c>
      <c r="G399" s="218">
        <f t="shared" si="25"/>
        <v>863</v>
      </c>
      <c r="H399" s="218">
        <f>H400+H403+H414+H417</f>
        <v>863</v>
      </c>
      <c r="I399" s="218">
        <f>I400+I403+I417</f>
        <v>0</v>
      </c>
    </row>
    <row r="400" spans="1:9" ht="30.75" customHeight="1">
      <c r="A400" s="42" t="s">
        <v>233</v>
      </c>
      <c r="B400" s="43">
        <v>951</v>
      </c>
      <c r="C400" s="82" t="s">
        <v>164</v>
      </c>
      <c r="D400" s="82" t="s">
        <v>148</v>
      </c>
      <c r="E400" s="82" t="s">
        <v>90</v>
      </c>
      <c r="F400" s="82" t="s">
        <v>409</v>
      </c>
      <c r="G400" s="188">
        <f t="shared" si="25"/>
        <v>609</v>
      </c>
      <c r="H400" s="188">
        <f t="shared" si="26"/>
        <v>609</v>
      </c>
      <c r="I400" s="188">
        <f t="shared" si="26"/>
        <v>0</v>
      </c>
    </row>
    <row r="401" spans="1:9" ht="30" customHeight="1">
      <c r="A401" s="35" t="s">
        <v>187</v>
      </c>
      <c r="B401" s="43">
        <v>951</v>
      </c>
      <c r="C401" s="82" t="s">
        <v>164</v>
      </c>
      <c r="D401" s="82" t="s">
        <v>148</v>
      </c>
      <c r="E401" s="82" t="s">
        <v>90</v>
      </c>
      <c r="F401" s="82" t="s">
        <v>155</v>
      </c>
      <c r="G401" s="188">
        <f t="shared" si="25"/>
        <v>609</v>
      </c>
      <c r="H401" s="188">
        <f t="shared" si="26"/>
        <v>609</v>
      </c>
      <c r="I401" s="188">
        <f t="shared" si="26"/>
        <v>0</v>
      </c>
    </row>
    <row r="402" spans="1:9" ht="45">
      <c r="A402" s="84" t="s">
        <v>188</v>
      </c>
      <c r="B402" s="43">
        <v>951</v>
      </c>
      <c r="C402" s="66" t="s">
        <v>164</v>
      </c>
      <c r="D402" s="66" t="s">
        <v>148</v>
      </c>
      <c r="E402" s="66" t="s">
        <v>90</v>
      </c>
      <c r="F402" s="66" t="s">
        <v>189</v>
      </c>
      <c r="G402" s="188">
        <f t="shared" si="25"/>
        <v>609</v>
      </c>
      <c r="H402" s="188">
        <f>150+156.8+130+145.22+26.98</f>
        <v>609</v>
      </c>
      <c r="I402" s="188"/>
    </row>
    <row r="403" spans="1:9" ht="42.75" hidden="1">
      <c r="A403" s="603" t="s">
        <v>603</v>
      </c>
      <c r="B403" s="189">
        <v>951</v>
      </c>
      <c r="C403" s="604" t="s">
        <v>164</v>
      </c>
      <c r="D403" s="604" t="s">
        <v>148</v>
      </c>
      <c r="E403" s="604" t="s">
        <v>89</v>
      </c>
      <c r="F403" s="604" t="s">
        <v>409</v>
      </c>
      <c r="G403" s="211">
        <f t="shared" si="25"/>
        <v>0</v>
      </c>
      <c r="H403" s="217">
        <f>H409</f>
        <v>0</v>
      </c>
      <c r="I403" s="211">
        <f>I404</f>
        <v>0</v>
      </c>
    </row>
    <row r="404" spans="1:9" ht="75" hidden="1">
      <c r="A404" s="111" t="s">
        <v>622</v>
      </c>
      <c r="B404" s="43">
        <v>951</v>
      </c>
      <c r="C404" s="115" t="s">
        <v>164</v>
      </c>
      <c r="D404" s="115" t="s">
        <v>148</v>
      </c>
      <c r="E404" s="115" t="s">
        <v>604</v>
      </c>
      <c r="F404" s="115" t="s">
        <v>409</v>
      </c>
      <c r="G404" s="218">
        <f>I404</f>
        <v>0</v>
      </c>
      <c r="H404" s="218"/>
      <c r="I404" s="218">
        <f>I405+I407</f>
        <v>0</v>
      </c>
    </row>
    <row r="405" spans="1:9" ht="45" hidden="1">
      <c r="A405" s="84" t="s">
        <v>599</v>
      </c>
      <c r="B405" s="43">
        <v>951</v>
      </c>
      <c r="C405" s="66" t="s">
        <v>164</v>
      </c>
      <c r="D405" s="66" t="s">
        <v>148</v>
      </c>
      <c r="E405" s="66" t="s">
        <v>604</v>
      </c>
      <c r="F405" s="66" t="s">
        <v>600</v>
      </c>
      <c r="G405" s="188">
        <f>I405</f>
        <v>0</v>
      </c>
      <c r="H405" s="188"/>
      <c r="I405" s="188">
        <f>I406</f>
        <v>0</v>
      </c>
    </row>
    <row r="406" spans="1:9" ht="15" hidden="1">
      <c r="A406" s="84" t="s">
        <v>601</v>
      </c>
      <c r="B406" s="43">
        <v>951</v>
      </c>
      <c r="C406" s="66" t="s">
        <v>164</v>
      </c>
      <c r="D406" s="66" t="s">
        <v>148</v>
      </c>
      <c r="E406" s="66" t="s">
        <v>604</v>
      </c>
      <c r="F406" s="66" t="s">
        <v>602</v>
      </c>
      <c r="G406" s="188">
        <f>I406</f>
        <v>0</v>
      </c>
      <c r="H406" s="188"/>
      <c r="I406" s="188">
        <v>0</v>
      </c>
    </row>
    <row r="407" spans="1:9" ht="45" hidden="1">
      <c r="A407" s="341" t="s">
        <v>605</v>
      </c>
      <c r="B407" s="189">
        <v>952</v>
      </c>
      <c r="C407" s="124" t="s">
        <v>164</v>
      </c>
      <c r="D407" s="124" t="s">
        <v>148</v>
      </c>
      <c r="E407" s="124" t="s">
        <v>604</v>
      </c>
      <c r="F407" s="124" t="s">
        <v>211</v>
      </c>
      <c r="G407" s="334">
        <f>I407</f>
        <v>0</v>
      </c>
      <c r="H407" s="188"/>
      <c r="I407" s="334">
        <f>I408</f>
        <v>0</v>
      </c>
    </row>
    <row r="408" spans="1:9" ht="15.75" customHeight="1" hidden="1">
      <c r="A408" s="341" t="s">
        <v>175</v>
      </c>
      <c r="B408" s="189">
        <v>953</v>
      </c>
      <c r="C408" s="124" t="s">
        <v>164</v>
      </c>
      <c r="D408" s="124" t="s">
        <v>148</v>
      </c>
      <c r="E408" s="124" t="s">
        <v>604</v>
      </c>
      <c r="F408" s="124" t="s">
        <v>287</v>
      </c>
      <c r="G408" s="334">
        <f>I408</f>
        <v>0</v>
      </c>
      <c r="H408" s="188"/>
      <c r="I408" s="334">
        <v>0</v>
      </c>
    </row>
    <row r="409" spans="1:9" ht="87" customHeight="1" hidden="1">
      <c r="A409" s="234" t="s">
        <v>623</v>
      </c>
      <c r="B409" s="189">
        <v>951</v>
      </c>
      <c r="C409" s="185" t="s">
        <v>164</v>
      </c>
      <c r="D409" s="185" t="s">
        <v>148</v>
      </c>
      <c r="E409" s="185" t="s">
        <v>606</v>
      </c>
      <c r="F409" s="185" t="s">
        <v>409</v>
      </c>
      <c r="G409" s="207">
        <f>H409</f>
        <v>0</v>
      </c>
      <c r="H409" s="218">
        <f>H410+H412</f>
        <v>0</v>
      </c>
      <c r="I409" s="207"/>
    </row>
    <row r="410" spans="1:9" ht="45" hidden="1">
      <c r="A410" s="386" t="s">
        <v>599</v>
      </c>
      <c r="B410" s="189">
        <v>951</v>
      </c>
      <c r="C410" s="124" t="s">
        <v>164</v>
      </c>
      <c r="D410" s="124" t="s">
        <v>148</v>
      </c>
      <c r="E410" s="124" t="s">
        <v>606</v>
      </c>
      <c r="F410" s="124" t="s">
        <v>600</v>
      </c>
      <c r="G410" s="334">
        <f>H410</f>
        <v>0</v>
      </c>
      <c r="H410" s="188">
        <f>H411</f>
        <v>0</v>
      </c>
      <c r="I410" s="334"/>
    </row>
    <row r="411" spans="1:9" ht="15" hidden="1">
      <c r="A411" s="386" t="s">
        <v>601</v>
      </c>
      <c r="B411" s="189">
        <v>951</v>
      </c>
      <c r="C411" s="124" t="s">
        <v>164</v>
      </c>
      <c r="D411" s="124" t="s">
        <v>148</v>
      </c>
      <c r="E411" s="124" t="s">
        <v>606</v>
      </c>
      <c r="F411" s="124" t="s">
        <v>602</v>
      </c>
      <c r="G411" s="334">
        <f>H411</f>
        <v>0</v>
      </c>
      <c r="H411" s="188">
        <f>43+43+40-40-86</f>
        <v>0</v>
      </c>
      <c r="I411" s="334"/>
    </row>
    <row r="412" spans="1:9" ht="42" customHeight="1" hidden="1">
      <c r="A412" s="341" t="s">
        <v>605</v>
      </c>
      <c r="B412" s="43">
        <v>952</v>
      </c>
      <c r="C412" s="66" t="s">
        <v>164</v>
      </c>
      <c r="D412" s="66" t="s">
        <v>148</v>
      </c>
      <c r="E412" s="124" t="s">
        <v>606</v>
      </c>
      <c r="F412" s="124" t="s">
        <v>211</v>
      </c>
      <c r="G412" s="334">
        <f>H412</f>
        <v>0</v>
      </c>
      <c r="H412" s="188">
        <f>H413</f>
        <v>0</v>
      </c>
      <c r="I412" s="334"/>
    </row>
    <row r="413" spans="1:9" ht="15" customHeight="1" hidden="1">
      <c r="A413" s="341" t="s">
        <v>175</v>
      </c>
      <c r="B413" s="43">
        <v>953</v>
      </c>
      <c r="C413" s="66" t="s">
        <v>164</v>
      </c>
      <c r="D413" s="66" t="s">
        <v>148</v>
      </c>
      <c r="E413" s="124" t="s">
        <v>606</v>
      </c>
      <c r="F413" s="124" t="s">
        <v>287</v>
      </c>
      <c r="G413" s="334">
        <f>H413</f>
        <v>0</v>
      </c>
      <c r="H413" s="188">
        <v>0</v>
      </c>
      <c r="I413" s="334"/>
    </row>
    <row r="414" spans="1:9" ht="45" customHeight="1">
      <c r="A414" s="110" t="s">
        <v>761</v>
      </c>
      <c r="B414" s="175">
        <v>951</v>
      </c>
      <c r="C414" s="115" t="s">
        <v>164</v>
      </c>
      <c r="D414" s="115" t="s">
        <v>148</v>
      </c>
      <c r="E414" s="115" t="s">
        <v>757</v>
      </c>
      <c r="F414" s="115" t="s">
        <v>409</v>
      </c>
      <c r="G414" s="218">
        <f>H414+I414</f>
        <v>254</v>
      </c>
      <c r="H414" s="218">
        <f>H415</f>
        <v>254</v>
      </c>
      <c r="I414" s="188"/>
    </row>
    <row r="415" spans="1:9" ht="30" customHeight="1">
      <c r="A415" s="35" t="s">
        <v>187</v>
      </c>
      <c r="B415" s="43">
        <v>951</v>
      </c>
      <c r="C415" s="66" t="s">
        <v>164</v>
      </c>
      <c r="D415" s="66" t="s">
        <v>148</v>
      </c>
      <c r="E415" s="66" t="s">
        <v>757</v>
      </c>
      <c r="F415" s="66" t="s">
        <v>155</v>
      </c>
      <c r="G415" s="188">
        <f>H415+I415</f>
        <v>254</v>
      </c>
      <c r="H415" s="188">
        <f>H416</f>
        <v>254</v>
      </c>
      <c r="I415" s="188"/>
    </row>
    <row r="416" spans="1:9" ht="42" customHeight="1">
      <c r="A416" s="84" t="s">
        <v>188</v>
      </c>
      <c r="B416" s="43">
        <v>951</v>
      </c>
      <c r="C416" s="66" t="s">
        <v>164</v>
      </c>
      <c r="D416" s="66" t="s">
        <v>148</v>
      </c>
      <c r="E416" s="66" t="s">
        <v>757</v>
      </c>
      <c r="F416" s="66" t="s">
        <v>189</v>
      </c>
      <c r="G416" s="188">
        <f>H416+I416</f>
        <v>254</v>
      </c>
      <c r="H416" s="188">
        <f>375+212+40-373</f>
        <v>254</v>
      </c>
      <c r="I416" s="188"/>
    </row>
    <row r="417" spans="1:9" ht="56.25" customHeight="1" hidden="1">
      <c r="A417" s="181" t="s">
        <v>762</v>
      </c>
      <c r="B417" s="43">
        <v>951</v>
      </c>
      <c r="C417" s="66" t="s">
        <v>164</v>
      </c>
      <c r="D417" s="66" t="s">
        <v>148</v>
      </c>
      <c r="E417" s="182" t="s">
        <v>89</v>
      </c>
      <c r="F417" s="182" t="s">
        <v>409</v>
      </c>
      <c r="G417" s="217">
        <f>H417+I417</f>
        <v>0</v>
      </c>
      <c r="H417" s="217">
        <f>H421</f>
        <v>0</v>
      </c>
      <c r="I417" s="217">
        <f>I418</f>
        <v>0</v>
      </c>
    </row>
    <row r="418" spans="1:9" ht="81.75" customHeight="1" hidden="1">
      <c r="A418" s="111" t="s">
        <v>768</v>
      </c>
      <c r="B418" s="43">
        <v>951</v>
      </c>
      <c r="C418" s="66" t="s">
        <v>164</v>
      </c>
      <c r="D418" s="66" t="s">
        <v>148</v>
      </c>
      <c r="E418" s="115" t="s">
        <v>763</v>
      </c>
      <c r="F418" s="115" t="s">
        <v>409</v>
      </c>
      <c r="G418" s="218">
        <f aca="true" t="shared" si="27" ref="G418:G423">H418+I418</f>
        <v>0</v>
      </c>
      <c r="H418" s="218"/>
      <c r="I418" s="218">
        <f>I419</f>
        <v>0</v>
      </c>
    </row>
    <row r="419" spans="1:9" ht="27.75" customHeight="1" hidden="1">
      <c r="A419" s="35" t="s">
        <v>187</v>
      </c>
      <c r="B419" s="43">
        <v>951</v>
      </c>
      <c r="C419" s="66" t="s">
        <v>164</v>
      </c>
      <c r="D419" s="66" t="s">
        <v>148</v>
      </c>
      <c r="E419" s="66" t="s">
        <v>763</v>
      </c>
      <c r="F419" s="66" t="s">
        <v>155</v>
      </c>
      <c r="G419" s="188">
        <f t="shared" si="27"/>
        <v>0</v>
      </c>
      <c r="H419" s="188"/>
      <c r="I419" s="188">
        <f>I420</f>
        <v>0</v>
      </c>
    </row>
    <row r="420" spans="1:9" ht="41.25" customHeight="1" hidden="1">
      <c r="A420" s="84" t="s">
        <v>188</v>
      </c>
      <c r="B420" s="43">
        <v>951</v>
      </c>
      <c r="C420" s="66" t="s">
        <v>164</v>
      </c>
      <c r="D420" s="66" t="s">
        <v>148</v>
      </c>
      <c r="E420" s="66" t="s">
        <v>763</v>
      </c>
      <c r="F420" s="66" t="s">
        <v>189</v>
      </c>
      <c r="G420" s="188">
        <f t="shared" si="27"/>
        <v>0</v>
      </c>
      <c r="H420" s="188"/>
      <c r="I420" s="188">
        <v>0</v>
      </c>
    </row>
    <row r="421" spans="1:9" ht="82.5" customHeight="1" hidden="1">
      <c r="A421" s="110" t="s">
        <v>765</v>
      </c>
      <c r="B421" s="43">
        <v>951</v>
      </c>
      <c r="C421" s="66" t="s">
        <v>164</v>
      </c>
      <c r="D421" s="66" t="s">
        <v>148</v>
      </c>
      <c r="E421" s="115" t="s">
        <v>766</v>
      </c>
      <c r="F421" s="115" t="s">
        <v>409</v>
      </c>
      <c r="G421" s="218">
        <f t="shared" si="27"/>
        <v>0</v>
      </c>
      <c r="H421" s="218">
        <f>H422</f>
        <v>0</v>
      </c>
      <c r="I421" s="218"/>
    </row>
    <row r="422" spans="1:9" ht="30" customHeight="1" hidden="1">
      <c r="A422" s="35" t="s">
        <v>187</v>
      </c>
      <c r="B422" s="43">
        <v>951</v>
      </c>
      <c r="C422" s="66" t="s">
        <v>164</v>
      </c>
      <c r="D422" s="66" t="s">
        <v>148</v>
      </c>
      <c r="E422" s="66" t="s">
        <v>766</v>
      </c>
      <c r="F422" s="66" t="s">
        <v>155</v>
      </c>
      <c r="G422" s="188">
        <f t="shared" si="27"/>
        <v>0</v>
      </c>
      <c r="H422" s="188">
        <f>H423</f>
        <v>0</v>
      </c>
      <c r="I422" s="188"/>
    </row>
    <row r="423" spans="1:9" ht="40.5" customHeight="1" hidden="1">
      <c r="A423" s="84" t="s">
        <v>188</v>
      </c>
      <c r="B423" s="43">
        <v>951</v>
      </c>
      <c r="C423" s="66" t="s">
        <v>164</v>
      </c>
      <c r="D423" s="66" t="s">
        <v>148</v>
      </c>
      <c r="E423" s="66" t="s">
        <v>766</v>
      </c>
      <c r="F423" s="66" t="s">
        <v>189</v>
      </c>
      <c r="G423" s="188">
        <f t="shared" si="27"/>
        <v>0</v>
      </c>
      <c r="H423" s="188">
        <v>0</v>
      </c>
      <c r="I423" s="188"/>
    </row>
    <row r="424" spans="1:9" ht="45.75" customHeight="1">
      <c r="A424" s="239" t="s">
        <v>234</v>
      </c>
      <c r="B424" s="456">
        <v>951</v>
      </c>
      <c r="C424" s="465" t="s">
        <v>166</v>
      </c>
      <c r="D424" s="465" t="s">
        <v>147</v>
      </c>
      <c r="E424" s="465" t="s">
        <v>320</v>
      </c>
      <c r="F424" s="465" t="s">
        <v>409</v>
      </c>
      <c r="G424" s="249">
        <f aca="true" t="shared" si="28" ref="G424:G463">H424+I424</f>
        <v>1090</v>
      </c>
      <c r="H424" s="306">
        <f aca="true" t="shared" si="29" ref="H424:I428">H425</f>
        <v>1090</v>
      </c>
      <c r="I424" s="306">
        <f t="shared" si="29"/>
        <v>0</v>
      </c>
    </row>
    <row r="425" spans="1:9" ht="75">
      <c r="A425" s="133" t="s">
        <v>548</v>
      </c>
      <c r="B425" s="477">
        <v>951</v>
      </c>
      <c r="C425" s="82" t="s">
        <v>166</v>
      </c>
      <c r="D425" s="82" t="s">
        <v>146</v>
      </c>
      <c r="E425" s="82" t="s">
        <v>320</v>
      </c>
      <c r="F425" s="82" t="s">
        <v>409</v>
      </c>
      <c r="G425" s="188">
        <f t="shared" si="28"/>
        <v>1090</v>
      </c>
      <c r="H425" s="275">
        <f t="shared" si="29"/>
        <v>1090</v>
      </c>
      <c r="I425" s="275">
        <f t="shared" si="29"/>
        <v>0</v>
      </c>
    </row>
    <row r="426" spans="1:9" ht="30">
      <c r="A426" s="235" t="s">
        <v>356</v>
      </c>
      <c r="B426" s="477">
        <v>951</v>
      </c>
      <c r="C426" s="82" t="s">
        <v>166</v>
      </c>
      <c r="D426" s="82" t="s">
        <v>146</v>
      </c>
      <c r="E426" s="82" t="s">
        <v>525</v>
      </c>
      <c r="F426" s="66" t="s">
        <v>409</v>
      </c>
      <c r="G426" s="188">
        <f t="shared" si="28"/>
        <v>1090</v>
      </c>
      <c r="H426" s="275">
        <f t="shared" si="29"/>
        <v>1090</v>
      </c>
      <c r="I426" s="275">
        <f t="shared" si="29"/>
        <v>0</v>
      </c>
    </row>
    <row r="427" spans="1:9" ht="30">
      <c r="A427" s="235" t="s">
        <v>235</v>
      </c>
      <c r="B427" s="477">
        <v>951</v>
      </c>
      <c r="C427" s="82" t="s">
        <v>166</v>
      </c>
      <c r="D427" s="82" t="s">
        <v>146</v>
      </c>
      <c r="E427" s="82" t="s">
        <v>525</v>
      </c>
      <c r="F427" s="82" t="s">
        <v>409</v>
      </c>
      <c r="G427" s="188">
        <f t="shared" si="28"/>
        <v>1090</v>
      </c>
      <c r="H427" s="275">
        <f t="shared" si="29"/>
        <v>1090</v>
      </c>
      <c r="I427" s="275">
        <f t="shared" si="29"/>
        <v>0</v>
      </c>
    </row>
    <row r="428" spans="1:9" ht="30">
      <c r="A428" s="235" t="s">
        <v>206</v>
      </c>
      <c r="B428" s="477">
        <v>951</v>
      </c>
      <c r="C428" s="82" t="s">
        <v>166</v>
      </c>
      <c r="D428" s="82" t="s">
        <v>146</v>
      </c>
      <c r="E428" s="82" t="s">
        <v>525</v>
      </c>
      <c r="F428" s="82" t="s">
        <v>207</v>
      </c>
      <c r="G428" s="188">
        <f t="shared" si="28"/>
        <v>1090</v>
      </c>
      <c r="H428" s="275">
        <f t="shared" si="29"/>
        <v>1090</v>
      </c>
      <c r="I428" s="275">
        <f t="shared" si="29"/>
        <v>0</v>
      </c>
    </row>
    <row r="429" spans="1:9" ht="15">
      <c r="A429" s="235" t="s">
        <v>236</v>
      </c>
      <c r="B429" s="477">
        <v>951</v>
      </c>
      <c r="C429" s="82" t="s">
        <v>166</v>
      </c>
      <c r="D429" s="82" t="s">
        <v>146</v>
      </c>
      <c r="E429" s="82" t="s">
        <v>525</v>
      </c>
      <c r="F429" s="82" t="s">
        <v>333</v>
      </c>
      <c r="G429" s="188">
        <f t="shared" si="28"/>
        <v>1090</v>
      </c>
      <c r="H429" s="275">
        <v>1090</v>
      </c>
      <c r="I429" s="275"/>
    </row>
    <row r="430" spans="1:11" ht="30" customHeight="1">
      <c r="A430" s="112" t="s">
        <v>397</v>
      </c>
      <c r="B430" s="455" t="s">
        <v>410</v>
      </c>
      <c r="C430" s="455" t="s">
        <v>147</v>
      </c>
      <c r="D430" s="455" t="s">
        <v>147</v>
      </c>
      <c r="E430" s="455" t="s">
        <v>320</v>
      </c>
      <c r="F430" s="455" t="s">
        <v>409</v>
      </c>
      <c r="G430" s="224">
        <f t="shared" si="28"/>
        <v>3847.8</v>
      </c>
      <c r="H430" s="313">
        <f>H431</f>
        <v>3847.8</v>
      </c>
      <c r="I430" s="313">
        <f aca="true" t="shared" si="30" ref="H430:I432">I431</f>
        <v>0</v>
      </c>
      <c r="K430" s="554"/>
    </row>
    <row r="431" spans="1:9" ht="60">
      <c r="A431" s="35" t="s">
        <v>152</v>
      </c>
      <c r="B431" s="179" t="s">
        <v>410</v>
      </c>
      <c r="C431" s="66" t="s">
        <v>146</v>
      </c>
      <c r="D431" s="66" t="s">
        <v>153</v>
      </c>
      <c r="E431" s="66" t="s">
        <v>320</v>
      </c>
      <c r="F431" s="66" t="s">
        <v>409</v>
      </c>
      <c r="G431" s="188">
        <f t="shared" si="28"/>
        <v>3847.8</v>
      </c>
      <c r="H431" s="188">
        <f t="shared" si="30"/>
        <v>3847.8</v>
      </c>
      <c r="I431" s="188">
        <f t="shared" si="30"/>
        <v>0</v>
      </c>
    </row>
    <row r="432" spans="1:9" ht="30">
      <c r="A432" s="42" t="s">
        <v>149</v>
      </c>
      <c r="B432" s="179" t="s">
        <v>410</v>
      </c>
      <c r="C432" s="82" t="s">
        <v>146</v>
      </c>
      <c r="D432" s="82" t="s">
        <v>153</v>
      </c>
      <c r="E432" s="82" t="s">
        <v>10</v>
      </c>
      <c r="F432" s="82" t="s">
        <v>409</v>
      </c>
      <c r="G432" s="188">
        <f t="shared" si="28"/>
        <v>3847.8</v>
      </c>
      <c r="H432" s="275">
        <f t="shared" si="30"/>
        <v>3847.8</v>
      </c>
      <c r="I432" s="275">
        <f t="shared" si="30"/>
        <v>0</v>
      </c>
    </row>
    <row r="433" spans="1:9" ht="45">
      <c r="A433" s="42" t="s">
        <v>150</v>
      </c>
      <c r="B433" s="179" t="s">
        <v>410</v>
      </c>
      <c r="C433" s="82" t="s">
        <v>146</v>
      </c>
      <c r="D433" s="82" t="s">
        <v>153</v>
      </c>
      <c r="E433" s="82" t="s">
        <v>11</v>
      </c>
      <c r="F433" s="82" t="s">
        <v>409</v>
      </c>
      <c r="G433" s="188">
        <f t="shared" si="28"/>
        <v>3847.8</v>
      </c>
      <c r="H433" s="275">
        <f>H439+H434</f>
        <v>3847.8</v>
      </c>
      <c r="I433" s="275">
        <f>I439</f>
        <v>0</v>
      </c>
    </row>
    <row r="434" spans="1:9" ht="30">
      <c r="A434" s="385" t="s">
        <v>179</v>
      </c>
      <c r="B434" s="478" t="s">
        <v>410</v>
      </c>
      <c r="C434" s="375" t="s">
        <v>146</v>
      </c>
      <c r="D434" s="375" t="s">
        <v>153</v>
      </c>
      <c r="E434" s="375" t="s">
        <v>13</v>
      </c>
      <c r="F434" s="375" t="s">
        <v>409</v>
      </c>
      <c r="G434" s="367">
        <f t="shared" si="28"/>
        <v>1683</v>
      </c>
      <c r="H434" s="368">
        <f>H435+H437</f>
        <v>1683</v>
      </c>
      <c r="I434" s="368">
        <f>I435+I437</f>
        <v>0</v>
      </c>
    </row>
    <row r="435" spans="1:9" ht="87" customHeight="1">
      <c r="A435" s="42" t="s">
        <v>184</v>
      </c>
      <c r="B435" s="179" t="s">
        <v>410</v>
      </c>
      <c r="C435" s="82" t="s">
        <v>146</v>
      </c>
      <c r="D435" s="82" t="s">
        <v>153</v>
      </c>
      <c r="E435" s="82" t="s">
        <v>13</v>
      </c>
      <c r="F435" s="82" t="s">
        <v>151</v>
      </c>
      <c r="G435" s="188">
        <f t="shared" si="28"/>
        <v>1668</v>
      </c>
      <c r="H435" s="275">
        <f>H436</f>
        <v>1668</v>
      </c>
      <c r="I435" s="275">
        <v>0</v>
      </c>
    </row>
    <row r="436" spans="1:9" ht="33" customHeight="1">
      <c r="A436" s="42" t="s">
        <v>186</v>
      </c>
      <c r="B436" s="179" t="s">
        <v>410</v>
      </c>
      <c r="C436" s="82" t="s">
        <v>146</v>
      </c>
      <c r="D436" s="82" t="s">
        <v>153</v>
      </c>
      <c r="E436" s="82" t="s">
        <v>13</v>
      </c>
      <c r="F436" s="82" t="s">
        <v>185</v>
      </c>
      <c r="G436" s="188">
        <f t="shared" si="28"/>
        <v>1668</v>
      </c>
      <c r="H436" s="223">
        <v>1668</v>
      </c>
      <c r="I436" s="275">
        <v>0</v>
      </c>
    </row>
    <row r="437" spans="1:9" ht="33" customHeight="1">
      <c r="A437" s="42" t="s">
        <v>187</v>
      </c>
      <c r="B437" s="179" t="s">
        <v>410</v>
      </c>
      <c r="C437" s="82" t="s">
        <v>146</v>
      </c>
      <c r="D437" s="82" t="s">
        <v>153</v>
      </c>
      <c r="E437" s="82" t="s">
        <v>13</v>
      </c>
      <c r="F437" s="82" t="s">
        <v>155</v>
      </c>
      <c r="G437" s="188">
        <f t="shared" si="28"/>
        <v>15</v>
      </c>
      <c r="H437" s="223">
        <f>H438</f>
        <v>15</v>
      </c>
      <c r="I437" s="275">
        <f>I438</f>
        <v>0</v>
      </c>
    </row>
    <row r="438" spans="1:9" ht="48" customHeight="1">
      <c r="A438" s="42" t="s">
        <v>188</v>
      </c>
      <c r="B438" s="179" t="s">
        <v>410</v>
      </c>
      <c r="C438" s="82" t="s">
        <v>146</v>
      </c>
      <c r="D438" s="82" t="s">
        <v>153</v>
      </c>
      <c r="E438" s="82" t="s">
        <v>13</v>
      </c>
      <c r="F438" s="82" t="s">
        <v>189</v>
      </c>
      <c r="G438" s="188">
        <f t="shared" si="28"/>
        <v>15</v>
      </c>
      <c r="H438" s="223">
        <v>15</v>
      </c>
      <c r="I438" s="275"/>
    </row>
    <row r="439" spans="1:11" ht="45" customHeight="1">
      <c r="A439" s="42" t="s">
        <v>154</v>
      </c>
      <c r="B439" s="179" t="s">
        <v>410</v>
      </c>
      <c r="C439" s="82" t="s">
        <v>146</v>
      </c>
      <c r="D439" s="82" t="s">
        <v>153</v>
      </c>
      <c r="E439" s="82" t="s">
        <v>14</v>
      </c>
      <c r="F439" s="82" t="s">
        <v>409</v>
      </c>
      <c r="G439" s="188">
        <f t="shared" si="28"/>
        <v>2164.8</v>
      </c>
      <c r="H439" s="275">
        <f>H440+H442+H444</f>
        <v>2164.8</v>
      </c>
      <c r="I439" s="275">
        <f>I440+I442</f>
        <v>0</v>
      </c>
      <c r="J439" s="559"/>
      <c r="K439" s="554"/>
    </row>
    <row r="440" spans="1:9" ht="75" customHeight="1">
      <c r="A440" s="42" t="s">
        <v>184</v>
      </c>
      <c r="B440" s="179" t="s">
        <v>410</v>
      </c>
      <c r="C440" s="82" t="s">
        <v>146</v>
      </c>
      <c r="D440" s="82" t="s">
        <v>153</v>
      </c>
      <c r="E440" s="82" t="s">
        <v>14</v>
      </c>
      <c r="F440" s="82" t="s">
        <v>151</v>
      </c>
      <c r="G440" s="188">
        <f t="shared" si="28"/>
        <v>1320.6870000000001</v>
      </c>
      <c r="H440" s="275">
        <f>H441</f>
        <v>1320.6870000000001</v>
      </c>
      <c r="I440" s="275">
        <f>I441</f>
        <v>0</v>
      </c>
    </row>
    <row r="441" spans="1:9" ht="31.5" customHeight="1">
      <c r="A441" s="42" t="s">
        <v>186</v>
      </c>
      <c r="B441" s="179" t="s">
        <v>410</v>
      </c>
      <c r="C441" s="82" t="s">
        <v>146</v>
      </c>
      <c r="D441" s="82" t="s">
        <v>153</v>
      </c>
      <c r="E441" s="82" t="s">
        <v>14</v>
      </c>
      <c r="F441" s="82" t="s">
        <v>185</v>
      </c>
      <c r="G441" s="188">
        <f t="shared" si="28"/>
        <v>1320.6870000000001</v>
      </c>
      <c r="H441" s="614">
        <f>1820.9-197.166-238.432-64.615</f>
        <v>1320.6870000000001</v>
      </c>
      <c r="I441" s="275"/>
    </row>
    <row r="442" spans="1:9" ht="30">
      <c r="A442" s="42" t="s">
        <v>187</v>
      </c>
      <c r="B442" s="179" t="s">
        <v>410</v>
      </c>
      <c r="C442" s="82" t="s">
        <v>146</v>
      </c>
      <c r="D442" s="82" t="s">
        <v>153</v>
      </c>
      <c r="E442" s="82" t="s">
        <v>14</v>
      </c>
      <c r="F442" s="82" t="s">
        <v>155</v>
      </c>
      <c r="G442" s="188">
        <f t="shared" si="28"/>
        <v>839.113</v>
      </c>
      <c r="H442" s="614">
        <f>H443</f>
        <v>839.113</v>
      </c>
      <c r="I442" s="275">
        <f>I443</f>
        <v>0</v>
      </c>
    </row>
    <row r="443" spans="1:9" ht="45">
      <c r="A443" s="42" t="s">
        <v>188</v>
      </c>
      <c r="B443" s="179" t="s">
        <v>410</v>
      </c>
      <c r="C443" s="82" t="s">
        <v>146</v>
      </c>
      <c r="D443" s="82" t="s">
        <v>153</v>
      </c>
      <c r="E443" s="82" t="s">
        <v>14</v>
      </c>
      <c r="F443" s="82" t="s">
        <v>189</v>
      </c>
      <c r="G443" s="188">
        <f t="shared" si="28"/>
        <v>839.113</v>
      </c>
      <c r="H443" s="188">
        <f>2164.8-5-1820.9+197.166+45.756+257.291</f>
        <v>839.113</v>
      </c>
      <c r="I443" s="275"/>
    </row>
    <row r="444" spans="1:9" ht="15">
      <c r="A444" s="42" t="s">
        <v>192</v>
      </c>
      <c r="B444" s="43" t="s">
        <v>410</v>
      </c>
      <c r="C444" s="82" t="s">
        <v>146</v>
      </c>
      <c r="D444" s="82" t="s">
        <v>153</v>
      </c>
      <c r="E444" s="82" t="s">
        <v>14</v>
      </c>
      <c r="F444" s="82" t="s">
        <v>193</v>
      </c>
      <c r="G444" s="188">
        <f t="shared" si="28"/>
        <v>5</v>
      </c>
      <c r="H444" s="188">
        <f>H445</f>
        <v>5</v>
      </c>
      <c r="I444" s="275"/>
    </row>
    <row r="445" spans="1:9" ht="15">
      <c r="A445" s="42" t="s">
        <v>190</v>
      </c>
      <c r="B445" s="43" t="s">
        <v>410</v>
      </c>
      <c r="C445" s="82" t="s">
        <v>146</v>
      </c>
      <c r="D445" s="82" t="s">
        <v>153</v>
      </c>
      <c r="E445" s="82" t="s">
        <v>14</v>
      </c>
      <c r="F445" s="82" t="s">
        <v>191</v>
      </c>
      <c r="G445" s="188">
        <f t="shared" si="28"/>
        <v>5</v>
      </c>
      <c r="H445" s="188">
        <v>5</v>
      </c>
      <c r="I445" s="275"/>
    </row>
    <row r="446" spans="1:9" ht="45" customHeight="1">
      <c r="A446" s="112" t="s">
        <v>624</v>
      </c>
      <c r="B446" s="455" t="s">
        <v>413</v>
      </c>
      <c r="C446" s="455" t="s">
        <v>147</v>
      </c>
      <c r="D446" s="455" t="s">
        <v>147</v>
      </c>
      <c r="E446" s="455" t="s">
        <v>320</v>
      </c>
      <c r="F446" s="455" t="s">
        <v>409</v>
      </c>
      <c r="G446" s="224">
        <f t="shared" si="28"/>
        <v>27058.970999999998</v>
      </c>
      <c r="H446" s="313">
        <f>H447+H456+H459+H465+H468</f>
        <v>15767.894999999999</v>
      </c>
      <c r="I446" s="313">
        <f>I447+I456+I468</f>
        <v>11291.076</v>
      </c>
    </row>
    <row r="447" spans="1:9" ht="45.75" customHeight="1">
      <c r="A447" s="104" t="s">
        <v>398</v>
      </c>
      <c r="B447" s="179" t="s">
        <v>413</v>
      </c>
      <c r="C447" s="82" t="s">
        <v>146</v>
      </c>
      <c r="D447" s="82" t="s">
        <v>159</v>
      </c>
      <c r="E447" s="82" t="s">
        <v>320</v>
      </c>
      <c r="F447" s="82" t="s">
        <v>409</v>
      </c>
      <c r="G447" s="188">
        <f t="shared" si="28"/>
        <v>6459.92</v>
      </c>
      <c r="H447" s="275">
        <f>H448</f>
        <v>6459.92</v>
      </c>
      <c r="I447" s="275">
        <f>I448</f>
        <v>0</v>
      </c>
    </row>
    <row r="448" spans="1:9" ht="42.75" customHeight="1">
      <c r="A448" s="226" t="s">
        <v>150</v>
      </c>
      <c r="B448" s="179" t="s">
        <v>413</v>
      </c>
      <c r="C448" s="82" t="s">
        <v>146</v>
      </c>
      <c r="D448" s="82" t="s">
        <v>159</v>
      </c>
      <c r="E448" s="82" t="s">
        <v>10</v>
      </c>
      <c r="F448" s="82" t="s">
        <v>409</v>
      </c>
      <c r="G448" s="188">
        <f t="shared" si="28"/>
        <v>6459.92</v>
      </c>
      <c r="H448" s="275">
        <f>H449</f>
        <v>6459.92</v>
      </c>
      <c r="I448" s="275">
        <f>I449</f>
        <v>0</v>
      </c>
    </row>
    <row r="449" spans="1:11" ht="45">
      <c r="A449" s="35" t="s">
        <v>291</v>
      </c>
      <c r="B449" s="179" t="s">
        <v>413</v>
      </c>
      <c r="C449" s="82" t="s">
        <v>146</v>
      </c>
      <c r="D449" s="82" t="s">
        <v>159</v>
      </c>
      <c r="E449" s="82" t="s">
        <v>11</v>
      </c>
      <c r="F449" s="82" t="s">
        <v>409</v>
      </c>
      <c r="G449" s="188">
        <f t="shared" si="28"/>
        <v>6459.92</v>
      </c>
      <c r="H449" s="275">
        <f>H450+H452+H454</f>
        <v>6459.92</v>
      </c>
      <c r="I449" s="275">
        <f>I450+I452+I454</f>
        <v>0</v>
      </c>
      <c r="K449" s="554"/>
    </row>
    <row r="450" spans="1:9" ht="91.5" customHeight="1">
      <c r="A450" s="35" t="s">
        <v>184</v>
      </c>
      <c r="B450" s="179" t="s">
        <v>413</v>
      </c>
      <c r="C450" s="82" t="s">
        <v>146</v>
      </c>
      <c r="D450" s="82" t="s">
        <v>159</v>
      </c>
      <c r="E450" s="82" t="s">
        <v>14</v>
      </c>
      <c r="F450" s="82" t="s">
        <v>151</v>
      </c>
      <c r="G450" s="188">
        <f t="shared" si="28"/>
        <v>5591.12</v>
      </c>
      <c r="H450" s="275">
        <f>H451</f>
        <v>5591.12</v>
      </c>
      <c r="I450" s="275">
        <f>I451</f>
        <v>0</v>
      </c>
    </row>
    <row r="451" spans="1:9" ht="30">
      <c r="A451" s="35" t="s">
        <v>186</v>
      </c>
      <c r="B451" s="179" t="s">
        <v>413</v>
      </c>
      <c r="C451" s="66" t="s">
        <v>146</v>
      </c>
      <c r="D451" s="66" t="s">
        <v>159</v>
      </c>
      <c r="E451" s="66" t="s">
        <v>14</v>
      </c>
      <c r="F451" s="66" t="s">
        <v>185</v>
      </c>
      <c r="G451" s="188">
        <f t="shared" si="28"/>
        <v>5591.12</v>
      </c>
      <c r="H451" s="188">
        <v>5591.12</v>
      </c>
      <c r="I451" s="275"/>
    </row>
    <row r="452" spans="1:9" ht="30">
      <c r="A452" s="35" t="s">
        <v>187</v>
      </c>
      <c r="B452" s="179" t="s">
        <v>413</v>
      </c>
      <c r="C452" s="66" t="s">
        <v>146</v>
      </c>
      <c r="D452" s="66" t="s">
        <v>159</v>
      </c>
      <c r="E452" s="66" t="s">
        <v>14</v>
      </c>
      <c r="F452" s="66" t="s">
        <v>155</v>
      </c>
      <c r="G452" s="188">
        <f t="shared" si="28"/>
        <v>860.8</v>
      </c>
      <c r="H452" s="275">
        <f>H453</f>
        <v>860.8</v>
      </c>
      <c r="I452" s="275">
        <f>I453</f>
        <v>0</v>
      </c>
    </row>
    <row r="453" spans="1:9" ht="45">
      <c r="A453" s="35" t="s">
        <v>188</v>
      </c>
      <c r="B453" s="179" t="s">
        <v>413</v>
      </c>
      <c r="C453" s="66" t="s">
        <v>146</v>
      </c>
      <c r="D453" s="66" t="s">
        <v>159</v>
      </c>
      <c r="E453" s="66" t="s">
        <v>14</v>
      </c>
      <c r="F453" s="66" t="s">
        <v>189</v>
      </c>
      <c r="G453" s="188">
        <f t="shared" si="28"/>
        <v>860.8</v>
      </c>
      <c r="H453" s="188">
        <v>860.8</v>
      </c>
      <c r="I453" s="275"/>
    </row>
    <row r="454" spans="1:9" ht="15">
      <c r="A454" s="35" t="s">
        <v>192</v>
      </c>
      <c r="B454" s="179" t="s">
        <v>413</v>
      </c>
      <c r="C454" s="66" t="s">
        <v>146</v>
      </c>
      <c r="D454" s="66" t="s">
        <v>159</v>
      </c>
      <c r="E454" s="66" t="s">
        <v>14</v>
      </c>
      <c r="F454" s="66" t="s">
        <v>193</v>
      </c>
      <c r="G454" s="188">
        <f t="shared" si="28"/>
        <v>8</v>
      </c>
      <c r="H454" s="275">
        <f>H455</f>
        <v>8</v>
      </c>
      <c r="I454" s="275">
        <f>I455</f>
        <v>0</v>
      </c>
    </row>
    <row r="455" spans="1:9" ht="15">
      <c r="A455" s="35" t="s">
        <v>190</v>
      </c>
      <c r="B455" s="179" t="s">
        <v>413</v>
      </c>
      <c r="C455" s="66" t="s">
        <v>146</v>
      </c>
      <c r="D455" s="66" t="s">
        <v>159</v>
      </c>
      <c r="E455" s="66" t="s">
        <v>14</v>
      </c>
      <c r="F455" s="66" t="s">
        <v>191</v>
      </c>
      <c r="G455" s="188">
        <f t="shared" si="28"/>
        <v>8</v>
      </c>
      <c r="H455" s="188">
        <v>8</v>
      </c>
      <c r="I455" s="275"/>
    </row>
    <row r="456" spans="1:9" ht="15" hidden="1">
      <c r="A456" s="35" t="s">
        <v>196</v>
      </c>
      <c r="B456" s="179" t="s">
        <v>413</v>
      </c>
      <c r="C456" s="66" t="s">
        <v>146</v>
      </c>
      <c r="D456" s="66" t="s">
        <v>159</v>
      </c>
      <c r="E456" s="66" t="s">
        <v>322</v>
      </c>
      <c r="F456" s="66" t="s">
        <v>409</v>
      </c>
      <c r="G456" s="188">
        <f t="shared" si="28"/>
        <v>0</v>
      </c>
      <c r="H456" s="275">
        <f>H457</f>
        <v>0</v>
      </c>
      <c r="I456" s="275">
        <f>I457</f>
        <v>0</v>
      </c>
    </row>
    <row r="457" spans="1:9" ht="15" hidden="1">
      <c r="A457" s="35" t="s">
        <v>192</v>
      </c>
      <c r="B457" s="179" t="s">
        <v>413</v>
      </c>
      <c r="C457" s="66" t="s">
        <v>146</v>
      </c>
      <c r="D457" s="66" t="s">
        <v>159</v>
      </c>
      <c r="E457" s="66" t="s">
        <v>322</v>
      </c>
      <c r="F457" s="66" t="s">
        <v>193</v>
      </c>
      <c r="G457" s="188">
        <f t="shared" si="28"/>
        <v>0</v>
      </c>
      <c r="H457" s="275">
        <f>H458</f>
        <v>0</v>
      </c>
      <c r="I457" s="275">
        <f>I458</f>
        <v>0</v>
      </c>
    </row>
    <row r="458" spans="1:9" ht="15" hidden="1">
      <c r="A458" s="35" t="s">
        <v>196</v>
      </c>
      <c r="B458" s="179" t="s">
        <v>413</v>
      </c>
      <c r="C458" s="66" t="s">
        <v>146</v>
      </c>
      <c r="D458" s="66" t="s">
        <v>159</v>
      </c>
      <c r="E458" s="66" t="s">
        <v>322</v>
      </c>
      <c r="F458" s="66" t="s">
        <v>197</v>
      </c>
      <c r="G458" s="188">
        <f t="shared" si="28"/>
        <v>0</v>
      </c>
      <c r="H458" s="275"/>
      <c r="I458" s="275"/>
    </row>
    <row r="459" spans="1:9" ht="30" hidden="1">
      <c r="A459" s="111" t="s">
        <v>504</v>
      </c>
      <c r="B459" s="175" t="s">
        <v>413</v>
      </c>
      <c r="C459" s="115" t="s">
        <v>146</v>
      </c>
      <c r="D459" s="115" t="s">
        <v>392</v>
      </c>
      <c r="E459" s="115" t="s">
        <v>320</v>
      </c>
      <c r="F459" s="115" t="s">
        <v>409</v>
      </c>
      <c r="G459" s="218">
        <f t="shared" si="28"/>
        <v>0</v>
      </c>
      <c r="H459" s="218">
        <f>H460</f>
        <v>0</v>
      </c>
      <c r="I459" s="218"/>
    </row>
    <row r="460" spans="1:9" ht="30" hidden="1">
      <c r="A460" s="35" t="s">
        <v>505</v>
      </c>
      <c r="B460" s="179" t="s">
        <v>413</v>
      </c>
      <c r="C460" s="66" t="s">
        <v>146</v>
      </c>
      <c r="D460" s="66" t="s">
        <v>392</v>
      </c>
      <c r="E460" s="66" t="s">
        <v>10</v>
      </c>
      <c r="F460" s="66" t="s">
        <v>409</v>
      </c>
      <c r="G460" s="188">
        <f t="shared" si="28"/>
        <v>0</v>
      </c>
      <c r="H460" s="275">
        <f>H461</f>
        <v>0</v>
      </c>
      <c r="I460" s="275"/>
    </row>
    <row r="461" spans="1:9" ht="45" hidden="1">
      <c r="A461" s="35" t="s">
        <v>150</v>
      </c>
      <c r="B461" s="179" t="s">
        <v>413</v>
      </c>
      <c r="C461" s="66" t="s">
        <v>146</v>
      </c>
      <c r="D461" s="66" t="s">
        <v>392</v>
      </c>
      <c r="E461" s="66" t="s">
        <v>11</v>
      </c>
      <c r="F461" s="66" t="s">
        <v>409</v>
      </c>
      <c r="G461" s="188">
        <f t="shared" si="28"/>
        <v>0</v>
      </c>
      <c r="H461" s="275">
        <f>H462</f>
        <v>0</v>
      </c>
      <c r="I461" s="275"/>
    </row>
    <row r="462" spans="1:9" ht="30" hidden="1">
      <c r="A462" s="35" t="s">
        <v>506</v>
      </c>
      <c r="B462" s="179" t="s">
        <v>413</v>
      </c>
      <c r="C462" s="66" t="s">
        <v>146</v>
      </c>
      <c r="D462" s="66" t="s">
        <v>392</v>
      </c>
      <c r="E462" s="66" t="s">
        <v>507</v>
      </c>
      <c r="F462" s="66" t="s">
        <v>409</v>
      </c>
      <c r="G462" s="188">
        <f t="shared" si="28"/>
        <v>0</v>
      </c>
      <c r="H462" s="275">
        <f>H463</f>
        <v>0</v>
      </c>
      <c r="I462" s="275"/>
    </row>
    <row r="463" spans="1:9" ht="15" hidden="1">
      <c r="A463" s="35" t="s">
        <v>192</v>
      </c>
      <c r="B463" s="179" t="s">
        <v>413</v>
      </c>
      <c r="C463" s="66" t="s">
        <v>146</v>
      </c>
      <c r="D463" s="66" t="s">
        <v>392</v>
      </c>
      <c r="E463" s="66" t="s">
        <v>507</v>
      </c>
      <c r="F463" s="66" t="s">
        <v>193</v>
      </c>
      <c r="G463" s="188">
        <f t="shared" si="28"/>
        <v>0</v>
      </c>
      <c r="H463" s="275">
        <f>H464</f>
        <v>0</v>
      </c>
      <c r="I463" s="275"/>
    </row>
    <row r="464" spans="1:9" ht="15" hidden="1">
      <c r="A464" s="606" t="s">
        <v>555</v>
      </c>
      <c r="B464" s="179" t="s">
        <v>413</v>
      </c>
      <c r="C464" s="66" t="s">
        <v>146</v>
      </c>
      <c r="D464" s="66" t="s">
        <v>392</v>
      </c>
      <c r="E464" s="66" t="s">
        <v>507</v>
      </c>
      <c r="F464" s="66" t="s">
        <v>556</v>
      </c>
      <c r="G464" s="188">
        <f aca="true" t="shared" si="31" ref="G464:G480">H464+I464</f>
        <v>0</v>
      </c>
      <c r="H464" s="275">
        <v>0</v>
      </c>
      <c r="I464" s="275"/>
    </row>
    <row r="465" spans="1:9" ht="15" hidden="1">
      <c r="A465" s="110" t="s">
        <v>196</v>
      </c>
      <c r="B465" s="175" t="s">
        <v>413</v>
      </c>
      <c r="C465" s="115" t="s">
        <v>146</v>
      </c>
      <c r="D465" s="115" t="s">
        <v>166</v>
      </c>
      <c r="E465" s="115" t="s">
        <v>18</v>
      </c>
      <c r="F465" s="115" t="s">
        <v>409</v>
      </c>
      <c r="G465" s="218">
        <f t="shared" si="31"/>
        <v>0</v>
      </c>
      <c r="H465" s="218">
        <f>H466</f>
        <v>0</v>
      </c>
      <c r="I465" s="218"/>
    </row>
    <row r="466" spans="1:9" ht="15" hidden="1">
      <c r="A466" s="35" t="s">
        <v>192</v>
      </c>
      <c r="B466" s="43" t="s">
        <v>413</v>
      </c>
      <c r="C466" s="66" t="s">
        <v>146</v>
      </c>
      <c r="D466" s="66" t="s">
        <v>166</v>
      </c>
      <c r="E466" s="66" t="s">
        <v>18</v>
      </c>
      <c r="F466" s="66" t="s">
        <v>193</v>
      </c>
      <c r="G466" s="188">
        <f t="shared" si="31"/>
        <v>0</v>
      </c>
      <c r="H466" s="188">
        <f>H467</f>
        <v>0</v>
      </c>
      <c r="I466" s="188"/>
    </row>
    <row r="467" spans="1:9" ht="15" hidden="1">
      <c r="A467" s="35" t="s">
        <v>196</v>
      </c>
      <c r="B467" s="43" t="s">
        <v>413</v>
      </c>
      <c r="C467" s="66" t="s">
        <v>146</v>
      </c>
      <c r="D467" s="66" t="s">
        <v>166</v>
      </c>
      <c r="E467" s="66" t="s">
        <v>18</v>
      </c>
      <c r="F467" s="66" t="s">
        <v>197</v>
      </c>
      <c r="G467" s="188">
        <f t="shared" si="31"/>
        <v>0</v>
      </c>
      <c r="H467" s="188">
        <v>0</v>
      </c>
      <c r="I467" s="188"/>
    </row>
    <row r="468" spans="1:9" ht="75">
      <c r="A468" s="384" t="s">
        <v>548</v>
      </c>
      <c r="B468" s="476" t="s">
        <v>413</v>
      </c>
      <c r="C468" s="376" t="s">
        <v>238</v>
      </c>
      <c r="D468" s="376" t="s">
        <v>147</v>
      </c>
      <c r="E468" s="376" t="s">
        <v>530</v>
      </c>
      <c r="F468" s="376" t="s">
        <v>409</v>
      </c>
      <c r="G468" s="374">
        <f t="shared" si="31"/>
        <v>20599.051</v>
      </c>
      <c r="H468" s="374">
        <f>H469+H477+H479+H483</f>
        <v>9307.974999999999</v>
      </c>
      <c r="I468" s="374">
        <f>I470+I479</f>
        <v>11291.076</v>
      </c>
    </row>
    <row r="469" spans="1:9" ht="48" customHeight="1">
      <c r="A469" s="235" t="s">
        <v>239</v>
      </c>
      <c r="B469" s="477" t="s">
        <v>413</v>
      </c>
      <c r="C469" s="82" t="s">
        <v>238</v>
      </c>
      <c r="D469" s="82" t="s">
        <v>146</v>
      </c>
      <c r="E469" s="82" t="s">
        <v>530</v>
      </c>
      <c r="F469" s="82" t="s">
        <v>409</v>
      </c>
      <c r="G469" s="272">
        <f t="shared" si="31"/>
        <v>19879.051</v>
      </c>
      <c r="H469" s="272">
        <f>H474</f>
        <v>8587.974999999999</v>
      </c>
      <c r="I469" s="272">
        <f>I470</f>
        <v>11291.076</v>
      </c>
    </row>
    <row r="470" spans="1:9" ht="45">
      <c r="A470" s="133" t="s">
        <v>240</v>
      </c>
      <c r="B470" s="477" t="s">
        <v>413</v>
      </c>
      <c r="C470" s="479" t="s">
        <v>238</v>
      </c>
      <c r="D470" s="479" t="s">
        <v>146</v>
      </c>
      <c r="E470" s="479" t="s">
        <v>522</v>
      </c>
      <c r="F470" s="479" t="s">
        <v>409</v>
      </c>
      <c r="G470" s="314">
        <f t="shared" si="31"/>
        <v>11291.076</v>
      </c>
      <c r="H470" s="314">
        <f>H471</f>
        <v>0</v>
      </c>
      <c r="I470" s="314">
        <f>I471</f>
        <v>11291.076</v>
      </c>
    </row>
    <row r="471" spans="1:9" ht="15">
      <c r="A471" s="235" t="s">
        <v>198</v>
      </c>
      <c r="B471" s="477" t="s">
        <v>413</v>
      </c>
      <c r="C471" s="82" t="s">
        <v>238</v>
      </c>
      <c r="D471" s="82" t="s">
        <v>146</v>
      </c>
      <c r="E471" s="82" t="s">
        <v>522</v>
      </c>
      <c r="F471" s="82" t="s">
        <v>409</v>
      </c>
      <c r="G471" s="272">
        <f t="shared" si="31"/>
        <v>11291.076</v>
      </c>
      <c r="H471" s="272">
        <f>H472</f>
        <v>0</v>
      </c>
      <c r="I471" s="272">
        <f>I472+I474</f>
        <v>11291.076</v>
      </c>
    </row>
    <row r="472" spans="1:9" ht="90">
      <c r="A472" s="235" t="s">
        <v>336</v>
      </c>
      <c r="B472" s="477" t="s">
        <v>413</v>
      </c>
      <c r="C472" s="82" t="s">
        <v>238</v>
      </c>
      <c r="D472" s="82" t="s">
        <v>146</v>
      </c>
      <c r="E472" s="82" t="s">
        <v>522</v>
      </c>
      <c r="F472" s="82" t="s">
        <v>409</v>
      </c>
      <c r="G472" s="272">
        <f>H472+I472</f>
        <v>11291.076</v>
      </c>
      <c r="H472" s="272">
        <f>H473</f>
        <v>0</v>
      </c>
      <c r="I472" s="272">
        <f>I473</f>
        <v>11291.076</v>
      </c>
    </row>
    <row r="473" spans="1:9" ht="15">
      <c r="A473" s="235" t="s">
        <v>208</v>
      </c>
      <c r="B473" s="477" t="s">
        <v>413</v>
      </c>
      <c r="C473" s="82" t="s">
        <v>238</v>
      </c>
      <c r="D473" s="82" t="s">
        <v>146</v>
      </c>
      <c r="E473" s="82" t="s">
        <v>522</v>
      </c>
      <c r="F473" s="82" t="s">
        <v>209</v>
      </c>
      <c r="G473" s="272">
        <f t="shared" si="31"/>
        <v>11291.076</v>
      </c>
      <c r="H473" s="272">
        <v>0</v>
      </c>
      <c r="I473" s="188">
        <v>11291.076</v>
      </c>
    </row>
    <row r="474" spans="1:9" ht="45">
      <c r="A474" s="133" t="s">
        <v>313</v>
      </c>
      <c r="B474" s="477" t="s">
        <v>413</v>
      </c>
      <c r="C474" s="479" t="s">
        <v>238</v>
      </c>
      <c r="D474" s="479" t="s">
        <v>146</v>
      </c>
      <c r="E474" s="479" t="s">
        <v>523</v>
      </c>
      <c r="F474" s="479" t="s">
        <v>409</v>
      </c>
      <c r="G474" s="314">
        <f>H474+I474</f>
        <v>8587.974999999999</v>
      </c>
      <c r="H474" s="218">
        <f>H475</f>
        <v>8587.974999999999</v>
      </c>
      <c r="I474" s="314">
        <f>I475</f>
        <v>0</v>
      </c>
    </row>
    <row r="475" spans="1:9" ht="15">
      <c r="A475" s="235" t="s">
        <v>208</v>
      </c>
      <c r="B475" s="477" t="s">
        <v>413</v>
      </c>
      <c r="C475" s="82" t="s">
        <v>238</v>
      </c>
      <c r="D475" s="82" t="s">
        <v>146</v>
      </c>
      <c r="E475" s="82" t="s">
        <v>523</v>
      </c>
      <c r="F475" s="82" t="s">
        <v>209</v>
      </c>
      <c r="G475" s="272">
        <f t="shared" si="31"/>
        <v>8587.974999999999</v>
      </c>
      <c r="H475" s="188">
        <f>8375.417+212.558</f>
        <v>8587.974999999999</v>
      </c>
      <c r="I475" s="272"/>
    </row>
    <row r="476" spans="1:9" s="560" customFormat="1" ht="45" hidden="1">
      <c r="A476" s="118" t="s">
        <v>313</v>
      </c>
      <c r="B476" s="480" t="s">
        <v>413</v>
      </c>
      <c r="C476" s="366" t="s">
        <v>238</v>
      </c>
      <c r="D476" s="366" t="s">
        <v>146</v>
      </c>
      <c r="E476" s="366" t="s">
        <v>18</v>
      </c>
      <c r="F476" s="366" t="s">
        <v>409</v>
      </c>
      <c r="G476" s="271">
        <f>H476</f>
        <v>0</v>
      </c>
      <c r="H476" s="188">
        <f>H477</f>
        <v>0</v>
      </c>
      <c r="I476" s="271">
        <f>I477</f>
        <v>0</v>
      </c>
    </row>
    <row r="477" spans="1:9" s="560" customFormat="1" ht="15" hidden="1">
      <c r="A477" s="118" t="s">
        <v>196</v>
      </c>
      <c r="B477" s="480" t="s">
        <v>413</v>
      </c>
      <c r="C477" s="366" t="s">
        <v>238</v>
      </c>
      <c r="D477" s="366" t="s">
        <v>146</v>
      </c>
      <c r="E477" s="366" t="s">
        <v>18</v>
      </c>
      <c r="F477" s="366" t="s">
        <v>209</v>
      </c>
      <c r="G477" s="271">
        <f>H477</f>
        <v>0</v>
      </c>
      <c r="H477" s="188"/>
      <c r="I477" s="271"/>
    </row>
    <row r="478" spans="1:9" ht="30">
      <c r="A478" s="133" t="s">
        <v>346</v>
      </c>
      <c r="B478" s="477" t="s">
        <v>413</v>
      </c>
      <c r="C478" s="479" t="s">
        <v>238</v>
      </c>
      <c r="D478" s="479" t="s">
        <v>153</v>
      </c>
      <c r="E478" s="479" t="s">
        <v>530</v>
      </c>
      <c r="F478" s="479" t="s">
        <v>409</v>
      </c>
      <c r="G478" s="314">
        <f t="shared" si="31"/>
        <v>720</v>
      </c>
      <c r="H478" s="218">
        <f>H479</f>
        <v>720</v>
      </c>
      <c r="I478" s="314">
        <f>I479</f>
        <v>0</v>
      </c>
    </row>
    <row r="479" spans="1:9" ht="30">
      <c r="A479" s="235" t="s">
        <v>456</v>
      </c>
      <c r="B479" s="477" t="s">
        <v>413</v>
      </c>
      <c r="C479" s="82" t="s">
        <v>238</v>
      </c>
      <c r="D479" s="82" t="s">
        <v>153</v>
      </c>
      <c r="E479" s="82" t="s">
        <v>524</v>
      </c>
      <c r="F479" s="82" t="s">
        <v>409</v>
      </c>
      <c r="G479" s="272">
        <f t="shared" si="31"/>
        <v>720</v>
      </c>
      <c r="H479" s="188">
        <f>H480</f>
        <v>720</v>
      </c>
      <c r="I479" s="272">
        <f>I481</f>
        <v>0</v>
      </c>
    </row>
    <row r="480" spans="1:9" ht="16.5" customHeight="1">
      <c r="A480" s="235" t="s">
        <v>198</v>
      </c>
      <c r="B480" s="477" t="s">
        <v>413</v>
      </c>
      <c r="C480" s="82" t="s">
        <v>238</v>
      </c>
      <c r="D480" s="82" t="s">
        <v>153</v>
      </c>
      <c r="E480" s="82" t="s">
        <v>524</v>
      </c>
      <c r="F480" s="82" t="s">
        <v>199</v>
      </c>
      <c r="G480" s="272">
        <f t="shared" si="31"/>
        <v>720</v>
      </c>
      <c r="H480" s="188">
        <f>H481+H484</f>
        <v>720</v>
      </c>
      <c r="I480" s="272"/>
    </row>
    <row r="481" spans="1:9" ht="17.25" customHeight="1">
      <c r="A481" s="35" t="s">
        <v>302</v>
      </c>
      <c r="B481" s="179" t="s">
        <v>413</v>
      </c>
      <c r="C481" s="66" t="s">
        <v>238</v>
      </c>
      <c r="D481" s="66" t="s">
        <v>153</v>
      </c>
      <c r="E481" s="66" t="s">
        <v>524</v>
      </c>
      <c r="F481" s="66" t="s">
        <v>455</v>
      </c>
      <c r="G481" s="188">
        <f>H481+I481</f>
        <v>720</v>
      </c>
      <c r="H481" s="188">
        <f>450+170+100</f>
        <v>720</v>
      </c>
      <c r="I481" s="188"/>
    </row>
    <row r="482" spans="1:9" ht="15" hidden="1">
      <c r="A482" s="35" t="s">
        <v>198</v>
      </c>
      <c r="B482" s="179" t="s">
        <v>413</v>
      </c>
      <c r="C482" s="66" t="s">
        <v>238</v>
      </c>
      <c r="D482" s="66" t="s">
        <v>153</v>
      </c>
      <c r="E482" s="66" t="s">
        <v>511</v>
      </c>
      <c r="F482" s="66" t="s">
        <v>199</v>
      </c>
      <c r="G482" s="188">
        <f>H482</f>
        <v>0</v>
      </c>
      <c r="H482" s="188">
        <f>H483</f>
        <v>0</v>
      </c>
      <c r="I482" s="275"/>
    </row>
    <row r="483" spans="1:9" ht="135" hidden="1">
      <c r="A483" s="35" t="s">
        <v>512</v>
      </c>
      <c r="B483" s="179" t="s">
        <v>413</v>
      </c>
      <c r="C483" s="66" t="s">
        <v>238</v>
      </c>
      <c r="D483" s="66" t="s">
        <v>153</v>
      </c>
      <c r="E483" s="66" t="s">
        <v>511</v>
      </c>
      <c r="F483" s="66" t="s">
        <v>455</v>
      </c>
      <c r="G483" s="188">
        <f>H483</f>
        <v>0</v>
      </c>
      <c r="H483" s="188"/>
      <c r="I483" s="275"/>
    </row>
    <row r="484" spans="1:9" ht="75" hidden="1">
      <c r="A484" s="35" t="s">
        <v>693</v>
      </c>
      <c r="B484" s="179" t="s">
        <v>413</v>
      </c>
      <c r="C484" s="66" t="s">
        <v>238</v>
      </c>
      <c r="D484" s="66" t="s">
        <v>153</v>
      </c>
      <c r="E484" s="66" t="s">
        <v>733</v>
      </c>
      <c r="F484" s="66" t="s">
        <v>455</v>
      </c>
      <c r="G484" s="188">
        <f>H484</f>
        <v>0</v>
      </c>
      <c r="H484" s="188">
        <v>0</v>
      </c>
      <c r="I484" s="275"/>
    </row>
    <row r="485" spans="1:9" ht="85.5">
      <c r="A485" s="112" t="s">
        <v>427</v>
      </c>
      <c r="B485" s="455" t="s">
        <v>412</v>
      </c>
      <c r="C485" s="455" t="s">
        <v>147</v>
      </c>
      <c r="D485" s="455" t="s">
        <v>147</v>
      </c>
      <c r="E485" s="455" t="s">
        <v>320</v>
      </c>
      <c r="F485" s="455" t="s">
        <v>409</v>
      </c>
      <c r="G485" s="224">
        <f>H485+I485</f>
        <v>429363.43159000005</v>
      </c>
      <c r="H485" s="313">
        <f>H486+H639+H655</f>
        <v>193571.75504000002</v>
      </c>
      <c r="I485" s="313">
        <f>I486+I495+I639+I655</f>
        <v>235791.67655</v>
      </c>
    </row>
    <row r="486" spans="1:9" ht="14.25">
      <c r="A486" s="250" t="s">
        <v>391</v>
      </c>
      <c r="B486" s="481" t="s">
        <v>412</v>
      </c>
      <c r="C486" s="182" t="s">
        <v>392</v>
      </c>
      <c r="D486" s="182" t="s">
        <v>147</v>
      </c>
      <c r="E486" s="182" t="s">
        <v>320</v>
      </c>
      <c r="F486" s="182" t="s">
        <v>409</v>
      </c>
      <c r="G486" s="217">
        <f>I486+H486</f>
        <v>420868.17259000003</v>
      </c>
      <c r="H486" s="316">
        <f>H487+H513+H562+H575+H580+H590+H598+H572</f>
        <v>193571.75504000002</v>
      </c>
      <c r="I486" s="316">
        <f>I487+I513+I562+I575+I580+I598</f>
        <v>227296.41755</v>
      </c>
    </row>
    <row r="487" spans="1:9" ht="14.25">
      <c r="A487" s="239" t="s">
        <v>400</v>
      </c>
      <c r="B487" s="456" t="s">
        <v>412</v>
      </c>
      <c r="C487" s="465" t="s">
        <v>392</v>
      </c>
      <c r="D487" s="465" t="s">
        <v>146</v>
      </c>
      <c r="E487" s="465" t="s">
        <v>320</v>
      </c>
      <c r="F487" s="465" t="s">
        <v>409</v>
      </c>
      <c r="G487" s="306">
        <f aca="true" t="shared" si="32" ref="G487:G602">H487+I487</f>
        <v>76224.853</v>
      </c>
      <c r="H487" s="249">
        <f>H488+H498+H501+H508</f>
        <v>37796.48100000001</v>
      </c>
      <c r="I487" s="249">
        <f>I488+I498</f>
        <v>38428.372</v>
      </c>
    </row>
    <row r="488" spans="1:9" ht="45">
      <c r="A488" s="110" t="s">
        <v>473</v>
      </c>
      <c r="B488" s="473" t="s">
        <v>412</v>
      </c>
      <c r="C488" s="115" t="s">
        <v>392</v>
      </c>
      <c r="D488" s="115" t="s">
        <v>146</v>
      </c>
      <c r="E488" s="115" t="s">
        <v>29</v>
      </c>
      <c r="F488" s="115" t="s">
        <v>409</v>
      </c>
      <c r="G488" s="218">
        <f t="shared" si="32"/>
        <v>36896.48100000001</v>
      </c>
      <c r="H488" s="312">
        <f>H489</f>
        <v>36896.48100000001</v>
      </c>
      <c r="I488" s="312">
        <f>I489</f>
        <v>0</v>
      </c>
    </row>
    <row r="489" spans="1:9" ht="45">
      <c r="A489" s="183" t="s">
        <v>258</v>
      </c>
      <c r="B489" s="179" t="s">
        <v>412</v>
      </c>
      <c r="C489" s="66" t="s">
        <v>392</v>
      </c>
      <c r="D489" s="66" t="s">
        <v>146</v>
      </c>
      <c r="E489" s="66" t="s">
        <v>42</v>
      </c>
      <c r="F489" s="66" t="s">
        <v>409</v>
      </c>
      <c r="G489" s="188">
        <f t="shared" si="32"/>
        <v>36896.48100000001</v>
      </c>
      <c r="H489" s="275">
        <f>H490+H495+H493</f>
        <v>36896.48100000001</v>
      </c>
      <c r="I489" s="275">
        <f>I490+I495</f>
        <v>0</v>
      </c>
    </row>
    <row r="490" spans="1:9" ht="45">
      <c r="A490" s="35" t="s">
        <v>210</v>
      </c>
      <c r="B490" s="179" t="s">
        <v>412</v>
      </c>
      <c r="C490" s="66" t="s">
        <v>392</v>
      </c>
      <c r="D490" s="66" t="s">
        <v>146</v>
      </c>
      <c r="E490" s="66" t="s">
        <v>44</v>
      </c>
      <c r="F490" s="66" t="s">
        <v>211</v>
      </c>
      <c r="G490" s="188">
        <f t="shared" si="32"/>
        <v>2984.8810000000003</v>
      </c>
      <c r="H490" s="275">
        <f>H491</f>
        <v>2984.8810000000003</v>
      </c>
      <c r="I490" s="275">
        <f>I491</f>
        <v>0</v>
      </c>
    </row>
    <row r="491" spans="1:9" ht="15">
      <c r="A491" s="84" t="s">
        <v>212</v>
      </c>
      <c r="B491" s="179" t="s">
        <v>412</v>
      </c>
      <c r="C491" s="66" t="s">
        <v>392</v>
      </c>
      <c r="D491" s="66" t="s">
        <v>146</v>
      </c>
      <c r="E491" s="66" t="s">
        <v>43</v>
      </c>
      <c r="F491" s="66" t="s">
        <v>287</v>
      </c>
      <c r="G491" s="188">
        <f>H491+I491</f>
        <v>2984.8810000000003</v>
      </c>
      <c r="H491" s="275">
        <f>200+200+2794.8-209.919</f>
        <v>2984.8810000000003</v>
      </c>
      <c r="I491" s="275"/>
    </row>
    <row r="492" spans="1:9" ht="45">
      <c r="A492" s="235" t="s">
        <v>210</v>
      </c>
      <c r="B492" s="461" t="s">
        <v>412</v>
      </c>
      <c r="C492" s="82" t="s">
        <v>392</v>
      </c>
      <c r="D492" s="82" t="s">
        <v>146</v>
      </c>
      <c r="E492" s="66" t="s">
        <v>869</v>
      </c>
      <c r="F492" s="82" t="s">
        <v>211</v>
      </c>
      <c r="G492" s="272">
        <f>H492+I492</f>
        <v>80</v>
      </c>
      <c r="H492" s="275">
        <f>H493</f>
        <v>80</v>
      </c>
      <c r="I492" s="272">
        <f>I493</f>
        <v>0</v>
      </c>
    </row>
    <row r="493" spans="1:10" ht="35.25" customHeight="1">
      <c r="A493" s="573" t="s">
        <v>872</v>
      </c>
      <c r="B493" s="569" t="s">
        <v>412</v>
      </c>
      <c r="C493" s="570" t="s">
        <v>392</v>
      </c>
      <c r="D493" s="570" t="s">
        <v>146</v>
      </c>
      <c r="E493" s="174" t="s">
        <v>869</v>
      </c>
      <c r="F493" s="570" t="s">
        <v>287</v>
      </c>
      <c r="G493" s="571">
        <f>H493+I493</f>
        <v>80</v>
      </c>
      <c r="H493" s="596">
        <v>80</v>
      </c>
      <c r="I493" s="571"/>
      <c r="J493" s="48"/>
    </row>
    <row r="494" spans="1:9" ht="15" hidden="1">
      <c r="A494" s="84"/>
      <c r="B494" s="179" t="s">
        <v>412</v>
      </c>
      <c r="C494" s="66" t="s">
        <v>392</v>
      </c>
      <c r="D494" s="66" t="s">
        <v>146</v>
      </c>
      <c r="E494" s="66"/>
      <c r="F494" s="66"/>
      <c r="G494" s="188"/>
      <c r="H494" s="275"/>
      <c r="I494" s="275"/>
    </row>
    <row r="495" spans="1:10" ht="105">
      <c r="A495" s="35" t="s">
        <v>932</v>
      </c>
      <c r="B495" s="179" t="s">
        <v>412</v>
      </c>
      <c r="C495" s="66" t="s">
        <v>392</v>
      </c>
      <c r="D495" s="66" t="s">
        <v>146</v>
      </c>
      <c r="E495" s="66" t="s">
        <v>44</v>
      </c>
      <c r="F495" s="66" t="s">
        <v>409</v>
      </c>
      <c r="G495" s="188">
        <f>H495+I495</f>
        <v>33831.600000000006</v>
      </c>
      <c r="H495" s="275">
        <f>H496</f>
        <v>33831.600000000006</v>
      </c>
      <c r="I495" s="275">
        <f>I496</f>
        <v>0</v>
      </c>
      <c r="J495" s="561"/>
    </row>
    <row r="496" spans="1:9" ht="45">
      <c r="A496" s="35" t="s">
        <v>210</v>
      </c>
      <c r="B496" s="179" t="s">
        <v>412</v>
      </c>
      <c r="C496" s="66" t="s">
        <v>392</v>
      </c>
      <c r="D496" s="66" t="s">
        <v>146</v>
      </c>
      <c r="E496" s="66" t="s">
        <v>44</v>
      </c>
      <c r="F496" s="66" t="s">
        <v>211</v>
      </c>
      <c r="G496" s="188">
        <f t="shared" si="32"/>
        <v>33831.600000000006</v>
      </c>
      <c r="H496" s="275">
        <f>H497</f>
        <v>33831.600000000006</v>
      </c>
      <c r="I496" s="275">
        <f>I497</f>
        <v>0</v>
      </c>
    </row>
    <row r="497" spans="1:10" ht="15">
      <c r="A497" s="35" t="s">
        <v>175</v>
      </c>
      <c r="B497" s="179" t="s">
        <v>412</v>
      </c>
      <c r="C497" s="66" t="s">
        <v>392</v>
      </c>
      <c r="D497" s="66" t="s">
        <v>146</v>
      </c>
      <c r="E497" s="66" t="s">
        <v>45</v>
      </c>
      <c r="F497" s="66" t="s">
        <v>287</v>
      </c>
      <c r="G497" s="188">
        <f t="shared" si="32"/>
        <v>33831.600000000006</v>
      </c>
      <c r="H497" s="275">
        <f>21846.4+4500.9-1950.4+2310.4+7124.3</f>
        <v>33831.600000000006</v>
      </c>
      <c r="I497" s="275"/>
      <c r="J497" s="561"/>
    </row>
    <row r="498" spans="1:9" ht="75">
      <c r="A498" s="229" t="s">
        <v>396</v>
      </c>
      <c r="B498" s="482" t="s">
        <v>412</v>
      </c>
      <c r="C498" s="230" t="s">
        <v>392</v>
      </c>
      <c r="D498" s="459" t="s">
        <v>146</v>
      </c>
      <c r="E498" s="230" t="s">
        <v>46</v>
      </c>
      <c r="F498" s="230" t="s">
        <v>409</v>
      </c>
      <c r="G498" s="243">
        <f>H498+I498</f>
        <v>38428.372</v>
      </c>
      <c r="H498" s="317">
        <f>H499</f>
        <v>0</v>
      </c>
      <c r="I498" s="317">
        <f>I499</f>
        <v>38428.372</v>
      </c>
    </row>
    <row r="499" spans="1:9" ht="45">
      <c r="A499" s="42" t="s">
        <v>210</v>
      </c>
      <c r="B499" s="179" t="s">
        <v>412</v>
      </c>
      <c r="C499" s="66" t="s">
        <v>392</v>
      </c>
      <c r="D499" s="66" t="s">
        <v>146</v>
      </c>
      <c r="E499" s="66" t="s">
        <v>46</v>
      </c>
      <c r="F499" s="66" t="s">
        <v>211</v>
      </c>
      <c r="G499" s="188">
        <f t="shared" si="32"/>
        <v>38428.372</v>
      </c>
      <c r="H499" s="275"/>
      <c r="I499" s="188">
        <f>I500</f>
        <v>38428.372</v>
      </c>
    </row>
    <row r="500" spans="1:9" ht="15">
      <c r="A500" s="235" t="s">
        <v>212</v>
      </c>
      <c r="B500" s="477" t="s">
        <v>412</v>
      </c>
      <c r="C500" s="82" t="s">
        <v>392</v>
      </c>
      <c r="D500" s="82" t="s">
        <v>146</v>
      </c>
      <c r="E500" s="82" t="s">
        <v>46</v>
      </c>
      <c r="F500" s="82" t="s">
        <v>287</v>
      </c>
      <c r="G500" s="272">
        <f t="shared" si="32"/>
        <v>38428.372</v>
      </c>
      <c r="H500" s="223"/>
      <c r="I500" s="272">
        <v>38428.372</v>
      </c>
    </row>
    <row r="501" spans="1:9" ht="31.5" customHeight="1" hidden="1">
      <c r="A501" s="110" t="s">
        <v>578</v>
      </c>
      <c r="B501" s="477" t="s">
        <v>907</v>
      </c>
      <c r="C501" s="82" t="s">
        <v>392</v>
      </c>
      <c r="D501" s="82" t="s">
        <v>146</v>
      </c>
      <c r="E501" s="115" t="s">
        <v>320</v>
      </c>
      <c r="F501" s="115" t="s">
        <v>409</v>
      </c>
      <c r="G501" s="201">
        <f>H501</f>
        <v>0</v>
      </c>
      <c r="H501" s="201">
        <f>H502+H505</f>
        <v>0</v>
      </c>
      <c r="I501" s="201"/>
    </row>
    <row r="502" spans="1:9" ht="33" customHeight="1" hidden="1">
      <c r="A502" s="35" t="s">
        <v>579</v>
      </c>
      <c r="B502" s="477" t="s">
        <v>908</v>
      </c>
      <c r="C502" s="82" t="s">
        <v>392</v>
      </c>
      <c r="D502" s="82" t="s">
        <v>146</v>
      </c>
      <c r="E502" s="66" t="s">
        <v>580</v>
      </c>
      <c r="F502" s="66" t="s">
        <v>409</v>
      </c>
      <c r="G502" s="188">
        <f>H502</f>
        <v>0</v>
      </c>
      <c r="H502" s="188">
        <f>H503</f>
        <v>0</v>
      </c>
      <c r="I502" s="188"/>
    </row>
    <row r="503" spans="1:9" ht="47.25" customHeight="1" hidden="1">
      <c r="A503" s="35" t="s">
        <v>210</v>
      </c>
      <c r="B503" s="477" t="s">
        <v>411</v>
      </c>
      <c r="C503" s="82" t="s">
        <v>392</v>
      </c>
      <c r="D503" s="82" t="s">
        <v>146</v>
      </c>
      <c r="E503" s="66" t="s">
        <v>580</v>
      </c>
      <c r="F503" s="66" t="s">
        <v>211</v>
      </c>
      <c r="G503" s="188">
        <f>H503</f>
        <v>0</v>
      </c>
      <c r="H503" s="188">
        <f>H504</f>
        <v>0</v>
      </c>
      <c r="I503" s="188"/>
    </row>
    <row r="504" spans="1:9" ht="22.5" customHeight="1" hidden="1">
      <c r="A504" s="35" t="s">
        <v>212</v>
      </c>
      <c r="B504" s="477" t="s">
        <v>909</v>
      </c>
      <c r="C504" s="82" t="s">
        <v>392</v>
      </c>
      <c r="D504" s="82" t="s">
        <v>146</v>
      </c>
      <c r="E504" s="66" t="s">
        <v>580</v>
      </c>
      <c r="F504" s="66" t="s">
        <v>287</v>
      </c>
      <c r="G504" s="188">
        <f>H504</f>
        <v>0</v>
      </c>
      <c r="H504" s="188">
        <v>0</v>
      </c>
      <c r="I504" s="188"/>
    </row>
    <row r="505" spans="1:9" ht="33" customHeight="1" hidden="1">
      <c r="A505" s="110" t="s">
        <v>866</v>
      </c>
      <c r="B505" s="477" t="s">
        <v>910</v>
      </c>
      <c r="C505" s="82" t="s">
        <v>392</v>
      </c>
      <c r="D505" s="82" t="s">
        <v>146</v>
      </c>
      <c r="E505" s="532" t="s">
        <v>11</v>
      </c>
      <c r="F505" s="115" t="s">
        <v>409</v>
      </c>
      <c r="G505" s="218">
        <f>H505+I505</f>
        <v>0</v>
      </c>
      <c r="H505" s="218">
        <f>H506</f>
        <v>0</v>
      </c>
      <c r="I505" s="218">
        <f>I506</f>
        <v>0</v>
      </c>
    </row>
    <row r="506" spans="1:9" ht="50.25" customHeight="1" hidden="1">
      <c r="A506" s="35" t="s">
        <v>210</v>
      </c>
      <c r="B506" s="477" t="s">
        <v>911</v>
      </c>
      <c r="C506" s="82" t="s">
        <v>392</v>
      </c>
      <c r="D506" s="82" t="s">
        <v>146</v>
      </c>
      <c r="E506" s="388" t="s">
        <v>11</v>
      </c>
      <c r="F506" s="66" t="s">
        <v>211</v>
      </c>
      <c r="G506" s="188">
        <f>H506+I506</f>
        <v>0</v>
      </c>
      <c r="H506" s="188">
        <f>H507</f>
        <v>0</v>
      </c>
      <c r="I506" s="188">
        <f>I507</f>
        <v>0</v>
      </c>
    </row>
    <row r="507" spans="1:9" ht="22.5" customHeight="1" hidden="1">
      <c r="A507" s="35" t="s">
        <v>212</v>
      </c>
      <c r="B507" s="477" t="s">
        <v>912</v>
      </c>
      <c r="C507" s="82" t="s">
        <v>392</v>
      </c>
      <c r="D507" s="82" t="s">
        <v>146</v>
      </c>
      <c r="E507" s="388" t="s">
        <v>11</v>
      </c>
      <c r="F507" s="66" t="s">
        <v>287</v>
      </c>
      <c r="G507" s="188">
        <f>H507+I507</f>
        <v>0</v>
      </c>
      <c r="H507" s="188"/>
      <c r="I507" s="188"/>
    </row>
    <row r="508" spans="1:9" ht="33.75" customHeight="1">
      <c r="A508" s="35" t="s">
        <v>149</v>
      </c>
      <c r="B508" s="43" t="s">
        <v>412</v>
      </c>
      <c r="C508" s="66" t="s">
        <v>392</v>
      </c>
      <c r="D508" s="66" t="s">
        <v>146</v>
      </c>
      <c r="E508" s="66" t="s">
        <v>10</v>
      </c>
      <c r="F508" s="66" t="s">
        <v>409</v>
      </c>
      <c r="G508" s="188">
        <f>H508</f>
        <v>900</v>
      </c>
      <c r="H508" s="188">
        <f>H509</f>
        <v>900</v>
      </c>
      <c r="I508" s="188"/>
    </row>
    <row r="509" spans="1:9" ht="48" customHeight="1">
      <c r="A509" s="35" t="s">
        <v>150</v>
      </c>
      <c r="B509" s="43" t="s">
        <v>412</v>
      </c>
      <c r="C509" s="66" t="s">
        <v>392</v>
      </c>
      <c r="D509" s="66" t="s">
        <v>146</v>
      </c>
      <c r="E509" s="66" t="s">
        <v>11</v>
      </c>
      <c r="F509" s="66" t="s">
        <v>409</v>
      </c>
      <c r="G509" s="188">
        <f>H509</f>
        <v>900</v>
      </c>
      <c r="H509" s="188">
        <f>H510</f>
        <v>900</v>
      </c>
      <c r="I509" s="188"/>
    </row>
    <row r="510" spans="1:9" ht="32.25" customHeight="1">
      <c r="A510" s="340" t="s">
        <v>639</v>
      </c>
      <c r="B510" s="43" t="s">
        <v>412</v>
      </c>
      <c r="C510" s="66" t="s">
        <v>392</v>
      </c>
      <c r="D510" s="66" t="s">
        <v>146</v>
      </c>
      <c r="E510" s="66" t="s">
        <v>580</v>
      </c>
      <c r="F510" s="66" t="s">
        <v>409</v>
      </c>
      <c r="G510" s="188">
        <f>H510+I510</f>
        <v>900</v>
      </c>
      <c r="H510" s="188">
        <f>H511</f>
        <v>900</v>
      </c>
      <c r="I510" s="188"/>
    </row>
    <row r="511" spans="1:9" ht="42.75" customHeight="1">
      <c r="A511" s="35" t="s">
        <v>210</v>
      </c>
      <c r="B511" s="43" t="s">
        <v>412</v>
      </c>
      <c r="C511" s="66" t="s">
        <v>392</v>
      </c>
      <c r="D511" s="66" t="s">
        <v>146</v>
      </c>
      <c r="E511" s="66" t="s">
        <v>580</v>
      </c>
      <c r="F511" s="66" t="s">
        <v>211</v>
      </c>
      <c r="G511" s="188">
        <f>H511+I511</f>
        <v>900</v>
      </c>
      <c r="H511" s="188">
        <f>H512</f>
        <v>900</v>
      </c>
      <c r="I511" s="188"/>
    </row>
    <row r="512" spans="1:9" ht="24.75" customHeight="1">
      <c r="A512" s="35" t="s">
        <v>212</v>
      </c>
      <c r="B512" s="43" t="s">
        <v>412</v>
      </c>
      <c r="C512" s="66" t="s">
        <v>392</v>
      </c>
      <c r="D512" s="66" t="s">
        <v>146</v>
      </c>
      <c r="E512" s="66" t="s">
        <v>580</v>
      </c>
      <c r="F512" s="66" t="s">
        <v>287</v>
      </c>
      <c r="G512" s="188">
        <f>H512+I512</f>
        <v>900</v>
      </c>
      <c r="H512" s="188">
        <v>900</v>
      </c>
      <c r="I512" s="188"/>
    </row>
    <row r="513" spans="1:9" ht="14.25">
      <c r="A513" s="239" t="s">
        <v>445</v>
      </c>
      <c r="B513" s="456" t="s">
        <v>412</v>
      </c>
      <c r="C513" s="465" t="s">
        <v>392</v>
      </c>
      <c r="D513" s="465" t="s">
        <v>148</v>
      </c>
      <c r="E513" s="465" t="s">
        <v>320</v>
      </c>
      <c r="F513" s="465" t="s">
        <v>409</v>
      </c>
      <c r="G513" s="306">
        <f>H513+I513</f>
        <v>275851.16704</v>
      </c>
      <c r="H513" s="249">
        <f>H514+H544+H559</f>
        <v>87579.94403999999</v>
      </c>
      <c r="I513" s="249">
        <f>I514+I544+I556</f>
        <v>188271.223</v>
      </c>
    </row>
    <row r="514" spans="1:9" ht="45">
      <c r="A514" s="110" t="s">
        <v>473</v>
      </c>
      <c r="B514" s="473" t="s">
        <v>412</v>
      </c>
      <c r="C514" s="115" t="s">
        <v>392</v>
      </c>
      <c r="D514" s="115" t="s">
        <v>148</v>
      </c>
      <c r="E514" s="115" t="s">
        <v>29</v>
      </c>
      <c r="F514" s="115" t="s">
        <v>409</v>
      </c>
      <c r="G514" s="218">
        <f t="shared" si="32"/>
        <v>87579.94403999999</v>
      </c>
      <c r="H514" s="312">
        <f>H515+H531+H538</f>
        <v>87579.94403999999</v>
      </c>
      <c r="I514" s="312">
        <f>I515+I519+I531+I538</f>
        <v>0</v>
      </c>
    </row>
    <row r="515" spans="1:9" ht="45">
      <c r="A515" s="183" t="s">
        <v>261</v>
      </c>
      <c r="B515" s="179" t="s">
        <v>412</v>
      </c>
      <c r="C515" s="66" t="s">
        <v>392</v>
      </c>
      <c r="D515" s="66" t="s">
        <v>148</v>
      </c>
      <c r="E515" s="66" t="s">
        <v>47</v>
      </c>
      <c r="F515" s="66" t="s">
        <v>409</v>
      </c>
      <c r="G515" s="188">
        <f>H515+I515</f>
        <v>86010.94403999999</v>
      </c>
      <c r="H515" s="275">
        <f>H516+H519+H528+H526+H523</f>
        <v>86010.94403999999</v>
      </c>
      <c r="I515" s="275">
        <f>I516+I519</f>
        <v>0</v>
      </c>
    </row>
    <row r="516" spans="1:9" ht="30">
      <c r="A516" s="35" t="s">
        <v>254</v>
      </c>
      <c r="B516" s="179" t="s">
        <v>412</v>
      </c>
      <c r="C516" s="66" t="s">
        <v>392</v>
      </c>
      <c r="D516" s="66" t="s">
        <v>148</v>
      </c>
      <c r="E516" s="66" t="s">
        <v>48</v>
      </c>
      <c r="F516" s="66" t="s">
        <v>409</v>
      </c>
      <c r="G516" s="188">
        <f t="shared" si="32"/>
        <v>11233.487</v>
      </c>
      <c r="H516" s="188">
        <f>H517</f>
        <v>11233.487</v>
      </c>
      <c r="I516" s="275">
        <f>I517</f>
        <v>0</v>
      </c>
    </row>
    <row r="517" spans="1:9" ht="45">
      <c r="A517" s="35" t="s">
        <v>210</v>
      </c>
      <c r="B517" s="179" t="s">
        <v>412</v>
      </c>
      <c r="C517" s="66" t="s">
        <v>392</v>
      </c>
      <c r="D517" s="66" t="s">
        <v>148</v>
      </c>
      <c r="E517" s="66" t="s">
        <v>48</v>
      </c>
      <c r="F517" s="66" t="s">
        <v>211</v>
      </c>
      <c r="G517" s="188">
        <f t="shared" si="32"/>
        <v>11233.487</v>
      </c>
      <c r="H517" s="275">
        <f>H518</f>
        <v>11233.487</v>
      </c>
      <c r="I517" s="275">
        <f>I518</f>
        <v>0</v>
      </c>
    </row>
    <row r="518" spans="1:9" ht="15">
      <c r="A518" s="84" t="s">
        <v>212</v>
      </c>
      <c r="B518" s="179" t="s">
        <v>412</v>
      </c>
      <c r="C518" s="66" t="s">
        <v>392</v>
      </c>
      <c r="D518" s="66" t="s">
        <v>148</v>
      </c>
      <c r="E518" s="66" t="s">
        <v>49</v>
      </c>
      <c r="F518" s="66" t="s">
        <v>287</v>
      </c>
      <c r="G518" s="188">
        <f t="shared" si="32"/>
        <v>11233.487</v>
      </c>
      <c r="H518" s="275">
        <f>700+100+393.313+48.5+210+10268.72-487.046</f>
        <v>11233.487</v>
      </c>
      <c r="I518" s="275"/>
    </row>
    <row r="519" spans="1:9" ht="90">
      <c r="A519" s="35" t="s">
        <v>931</v>
      </c>
      <c r="B519" s="43" t="s">
        <v>412</v>
      </c>
      <c r="C519" s="66" t="s">
        <v>392</v>
      </c>
      <c r="D519" s="66" t="s">
        <v>148</v>
      </c>
      <c r="E519" s="66" t="s">
        <v>48</v>
      </c>
      <c r="F519" s="66" t="s">
        <v>409</v>
      </c>
      <c r="G519" s="188">
        <f t="shared" si="32"/>
        <v>74225.97776</v>
      </c>
      <c r="H519" s="188">
        <f>H520</f>
        <v>74225.97776</v>
      </c>
      <c r="I519" s="188">
        <f>I520</f>
        <v>0</v>
      </c>
    </row>
    <row r="520" spans="1:9" ht="45">
      <c r="A520" s="35" t="s">
        <v>210</v>
      </c>
      <c r="B520" s="179" t="s">
        <v>412</v>
      </c>
      <c r="C520" s="66" t="s">
        <v>392</v>
      </c>
      <c r="D520" s="66" t="s">
        <v>148</v>
      </c>
      <c r="E520" s="66" t="s">
        <v>48</v>
      </c>
      <c r="F520" s="66" t="s">
        <v>211</v>
      </c>
      <c r="G520" s="188">
        <f t="shared" si="32"/>
        <v>74225.97776</v>
      </c>
      <c r="H520" s="275">
        <f>H521</f>
        <v>74225.97776</v>
      </c>
      <c r="I520" s="275">
        <f>I521</f>
        <v>0</v>
      </c>
    </row>
    <row r="521" spans="1:9" ht="20.25" customHeight="1">
      <c r="A521" s="35" t="s">
        <v>212</v>
      </c>
      <c r="B521" s="179" t="s">
        <v>412</v>
      </c>
      <c r="C521" s="66" t="s">
        <v>392</v>
      </c>
      <c r="D521" s="66" t="s">
        <v>148</v>
      </c>
      <c r="E521" s="66" t="s">
        <v>50</v>
      </c>
      <c r="F521" s="66" t="s">
        <v>287</v>
      </c>
      <c r="G521" s="188">
        <f t="shared" si="32"/>
        <v>74225.97776</v>
      </c>
      <c r="H521" s="188">
        <f>53288.5+0.03321+7299.18953-2500+30.30302-287.5+4678.14+625.912+11091.4</f>
        <v>74225.97776</v>
      </c>
      <c r="I521" s="275"/>
    </row>
    <row r="522" spans="1:9" ht="15" hidden="1">
      <c r="A522" s="35"/>
      <c r="B522" s="179" t="s">
        <v>412</v>
      </c>
      <c r="C522" s="66" t="s">
        <v>392</v>
      </c>
      <c r="D522" s="66" t="s">
        <v>148</v>
      </c>
      <c r="E522" s="66" t="s">
        <v>50</v>
      </c>
      <c r="F522" s="66" t="s">
        <v>287</v>
      </c>
      <c r="G522" s="188"/>
      <c r="H522" s="188"/>
      <c r="I522" s="275"/>
    </row>
    <row r="523" spans="1:9" ht="90">
      <c r="A523" s="35" t="s">
        <v>697</v>
      </c>
      <c r="B523" s="43" t="s">
        <v>412</v>
      </c>
      <c r="C523" s="66" t="s">
        <v>392</v>
      </c>
      <c r="D523" s="66" t="s">
        <v>148</v>
      </c>
      <c r="E523" s="66" t="s">
        <v>688</v>
      </c>
      <c r="F523" s="66" t="s">
        <v>409</v>
      </c>
      <c r="G523" s="188">
        <f>H523</f>
        <v>107</v>
      </c>
      <c r="H523" s="188">
        <f>H524</f>
        <v>107</v>
      </c>
      <c r="I523" s="188"/>
    </row>
    <row r="524" spans="1:9" ht="45">
      <c r="A524" s="35" t="s">
        <v>210</v>
      </c>
      <c r="B524" s="43" t="s">
        <v>412</v>
      </c>
      <c r="C524" s="66" t="s">
        <v>392</v>
      </c>
      <c r="D524" s="66" t="s">
        <v>148</v>
      </c>
      <c r="E524" s="66" t="s">
        <v>688</v>
      </c>
      <c r="F524" s="66" t="s">
        <v>211</v>
      </c>
      <c r="G524" s="188">
        <f>H524</f>
        <v>107</v>
      </c>
      <c r="H524" s="188">
        <f>H525</f>
        <v>107</v>
      </c>
      <c r="I524" s="188"/>
    </row>
    <row r="525" spans="1:9" ht="15">
      <c r="A525" s="35" t="s">
        <v>212</v>
      </c>
      <c r="B525" s="43" t="s">
        <v>412</v>
      </c>
      <c r="C525" s="66" t="s">
        <v>392</v>
      </c>
      <c r="D525" s="66" t="s">
        <v>148</v>
      </c>
      <c r="E525" s="66" t="s">
        <v>688</v>
      </c>
      <c r="F525" s="66" t="s">
        <v>287</v>
      </c>
      <c r="G525" s="188">
        <f>H525</f>
        <v>107</v>
      </c>
      <c r="H525" s="188">
        <f>76+100-69</f>
        <v>107</v>
      </c>
      <c r="I525" s="188"/>
    </row>
    <row r="526" spans="1:9" ht="45">
      <c r="A526" s="235" t="s">
        <v>210</v>
      </c>
      <c r="B526" s="477" t="s">
        <v>412</v>
      </c>
      <c r="C526" s="82" t="s">
        <v>392</v>
      </c>
      <c r="D526" s="82" t="s">
        <v>148</v>
      </c>
      <c r="E526" s="66" t="s">
        <v>867</v>
      </c>
      <c r="F526" s="66" t="s">
        <v>211</v>
      </c>
      <c r="G526" s="188">
        <f>H526+I526</f>
        <v>372</v>
      </c>
      <c r="H526" s="188">
        <f>H527</f>
        <v>372</v>
      </c>
      <c r="I526" s="223">
        <f>I527</f>
        <v>0</v>
      </c>
    </row>
    <row r="527" spans="1:10" ht="30">
      <c r="A527" s="573" t="s">
        <v>872</v>
      </c>
      <c r="B527" s="569" t="s">
        <v>412</v>
      </c>
      <c r="C527" s="570" t="s">
        <v>392</v>
      </c>
      <c r="D527" s="570" t="s">
        <v>148</v>
      </c>
      <c r="E527" s="174" t="s">
        <v>867</v>
      </c>
      <c r="F527" s="174" t="s">
        <v>287</v>
      </c>
      <c r="G527" s="201">
        <f>H527+I527</f>
        <v>372</v>
      </c>
      <c r="H527" s="201">
        <v>372</v>
      </c>
      <c r="I527" s="571">
        <v>0</v>
      </c>
      <c r="J527" s="48"/>
    </row>
    <row r="528" spans="1:9" ht="75">
      <c r="A528" s="35" t="s">
        <v>808</v>
      </c>
      <c r="B528" s="179" t="s">
        <v>412</v>
      </c>
      <c r="C528" s="66" t="s">
        <v>392</v>
      </c>
      <c r="D528" s="66" t="s">
        <v>148</v>
      </c>
      <c r="E528" s="461" t="s">
        <v>809</v>
      </c>
      <c r="F528" s="82" t="s">
        <v>409</v>
      </c>
      <c r="G528" s="272">
        <f t="shared" si="32"/>
        <v>72.47928</v>
      </c>
      <c r="H528" s="272">
        <f>H529</f>
        <v>72.47928</v>
      </c>
      <c r="I528" s="188">
        <f>I529</f>
        <v>0</v>
      </c>
    </row>
    <row r="529" spans="1:9" ht="45">
      <c r="A529" s="42" t="s">
        <v>210</v>
      </c>
      <c r="B529" s="179" t="s">
        <v>412</v>
      </c>
      <c r="C529" s="66" t="s">
        <v>392</v>
      </c>
      <c r="D529" s="66" t="s">
        <v>148</v>
      </c>
      <c r="E529" s="461" t="s">
        <v>809</v>
      </c>
      <c r="F529" s="82" t="s">
        <v>211</v>
      </c>
      <c r="G529" s="272">
        <f t="shared" si="32"/>
        <v>72.47928</v>
      </c>
      <c r="H529" s="272">
        <f>H530</f>
        <v>72.47928</v>
      </c>
      <c r="I529" s="188">
        <f>I530</f>
        <v>0</v>
      </c>
    </row>
    <row r="530" spans="1:9" ht="15">
      <c r="A530" s="35" t="s">
        <v>212</v>
      </c>
      <c r="B530" s="179" t="s">
        <v>412</v>
      </c>
      <c r="C530" s="66" t="s">
        <v>392</v>
      </c>
      <c r="D530" s="66" t="s">
        <v>148</v>
      </c>
      <c r="E530" s="461" t="s">
        <v>809</v>
      </c>
      <c r="F530" s="82" t="s">
        <v>287</v>
      </c>
      <c r="G530" s="272">
        <f t="shared" si="32"/>
        <v>72.47928</v>
      </c>
      <c r="H530" s="188">
        <f>50+68.47928-46</f>
        <v>72.47928</v>
      </c>
      <c r="I530" s="275">
        <v>0</v>
      </c>
    </row>
    <row r="531" spans="1:9" ht="31.5" customHeight="1">
      <c r="A531" s="183" t="s">
        <v>259</v>
      </c>
      <c r="B531" s="179" t="s">
        <v>412</v>
      </c>
      <c r="C531" s="66" t="s">
        <v>392</v>
      </c>
      <c r="D531" s="66" t="s">
        <v>148</v>
      </c>
      <c r="E531" s="82" t="s">
        <v>51</v>
      </c>
      <c r="F531" s="82" t="s">
        <v>409</v>
      </c>
      <c r="G531" s="272">
        <f t="shared" si="32"/>
        <v>1569</v>
      </c>
      <c r="H531" s="272">
        <f>H532+H535</f>
        <v>1569</v>
      </c>
      <c r="I531" s="275">
        <f>I532+I535</f>
        <v>0</v>
      </c>
    </row>
    <row r="532" spans="1:9" ht="45">
      <c r="A532" s="110" t="s">
        <v>260</v>
      </c>
      <c r="B532" s="473" t="s">
        <v>412</v>
      </c>
      <c r="C532" s="115" t="s">
        <v>392</v>
      </c>
      <c r="D532" s="115" t="s">
        <v>148</v>
      </c>
      <c r="E532" s="115" t="s">
        <v>52</v>
      </c>
      <c r="F532" s="115" t="s">
        <v>409</v>
      </c>
      <c r="G532" s="218">
        <f t="shared" si="32"/>
        <v>250</v>
      </c>
      <c r="H532" s="312">
        <f>H533</f>
        <v>250</v>
      </c>
      <c r="I532" s="312">
        <f>I533</f>
        <v>0</v>
      </c>
    </row>
    <row r="533" spans="1:9" ht="45">
      <c r="A533" s="35" t="s">
        <v>210</v>
      </c>
      <c r="B533" s="179" t="s">
        <v>412</v>
      </c>
      <c r="C533" s="66" t="s">
        <v>392</v>
      </c>
      <c r="D533" s="66" t="s">
        <v>148</v>
      </c>
      <c r="E533" s="66" t="s">
        <v>52</v>
      </c>
      <c r="F533" s="66" t="s">
        <v>211</v>
      </c>
      <c r="G533" s="188">
        <f t="shared" si="32"/>
        <v>250</v>
      </c>
      <c r="H533" s="275">
        <f>H534</f>
        <v>250</v>
      </c>
      <c r="I533" s="275">
        <f>I534</f>
        <v>0</v>
      </c>
    </row>
    <row r="534" spans="1:9" ht="15">
      <c r="A534" s="84" t="s">
        <v>212</v>
      </c>
      <c r="B534" s="179" t="s">
        <v>412</v>
      </c>
      <c r="C534" s="66" t="s">
        <v>392</v>
      </c>
      <c r="D534" s="66" t="s">
        <v>148</v>
      </c>
      <c r="E534" s="66" t="s">
        <v>53</v>
      </c>
      <c r="F534" s="66" t="s">
        <v>287</v>
      </c>
      <c r="G534" s="188">
        <f t="shared" si="32"/>
        <v>250</v>
      </c>
      <c r="H534" s="275">
        <v>250</v>
      </c>
      <c r="I534" s="275"/>
    </row>
    <row r="535" spans="1:9" ht="30">
      <c r="A535" s="110" t="s">
        <v>255</v>
      </c>
      <c r="B535" s="473" t="s">
        <v>412</v>
      </c>
      <c r="C535" s="115" t="s">
        <v>392</v>
      </c>
      <c r="D535" s="115" t="s">
        <v>148</v>
      </c>
      <c r="E535" s="115" t="s">
        <v>52</v>
      </c>
      <c r="F535" s="115" t="s">
        <v>409</v>
      </c>
      <c r="G535" s="218">
        <f t="shared" si="32"/>
        <v>1319</v>
      </c>
      <c r="H535" s="312">
        <f>H536</f>
        <v>1319</v>
      </c>
      <c r="I535" s="312">
        <f>I536</f>
        <v>0</v>
      </c>
    </row>
    <row r="536" spans="1:9" ht="45">
      <c r="A536" s="35" t="s">
        <v>210</v>
      </c>
      <c r="B536" s="179" t="s">
        <v>412</v>
      </c>
      <c r="C536" s="66" t="s">
        <v>392</v>
      </c>
      <c r="D536" s="66" t="s">
        <v>148</v>
      </c>
      <c r="E536" s="66" t="s">
        <v>52</v>
      </c>
      <c r="F536" s="66" t="s">
        <v>211</v>
      </c>
      <c r="G536" s="188">
        <f t="shared" si="32"/>
        <v>1319</v>
      </c>
      <c r="H536" s="275">
        <f>H537</f>
        <v>1319</v>
      </c>
      <c r="I536" s="275">
        <f>I537</f>
        <v>0</v>
      </c>
    </row>
    <row r="537" spans="1:9" ht="15">
      <c r="A537" s="84" t="s">
        <v>437</v>
      </c>
      <c r="B537" s="179" t="s">
        <v>412</v>
      </c>
      <c r="C537" s="66" t="s">
        <v>392</v>
      </c>
      <c r="D537" s="66" t="s">
        <v>148</v>
      </c>
      <c r="E537" s="66" t="s">
        <v>54</v>
      </c>
      <c r="F537" s="66" t="s">
        <v>287</v>
      </c>
      <c r="G537" s="188">
        <f t="shared" si="32"/>
        <v>1319</v>
      </c>
      <c r="H537" s="275">
        <f>750+500+69</f>
        <v>1319</v>
      </c>
      <c r="I537" s="275"/>
    </row>
    <row r="538" spans="1:9" ht="30" hidden="1">
      <c r="A538" s="183" t="s">
        <v>289</v>
      </c>
      <c r="B538" s="179" t="s">
        <v>412</v>
      </c>
      <c r="C538" s="66" t="s">
        <v>392</v>
      </c>
      <c r="D538" s="66" t="s">
        <v>148</v>
      </c>
      <c r="E538" s="66" t="s">
        <v>55</v>
      </c>
      <c r="F538" s="66" t="s">
        <v>409</v>
      </c>
      <c r="G538" s="188">
        <f t="shared" si="32"/>
        <v>0</v>
      </c>
      <c r="H538" s="275">
        <f>H539</f>
        <v>0</v>
      </c>
      <c r="I538" s="275"/>
    </row>
    <row r="539" spans="1:9" ht="45" hidden="1">
      <c r="A539" s="35" t="s">
        <v>210</v>
      </c>
      <c r="B539" s="179" t="s">
        <v>412</v>
      </c>
      <c r="C539" s="66" t="s">
        <v>392</v>
      </c>
      <c r="D539" s="66" t="s">
        <v>148</v>
      </c>
      <c r="E539" s="66" t="s">
        <v>56</v>
      </c>
      <c r="F539" s="66" t="s">
        <v>409</v>
      </c>
      <c r="G539" s="188">
        <f t="shared" si="32"/>
        <v>0</v>
      </c>
      <c r="H539" s="188">
        <f>H540+H541</f>
        <v>0</v>
      </c>
      <c r="I539" s="275"/>
    </row>
    <row r="540" spans="1:9" ht="30" hidden="1">
      <c r="A540" s="35" t="s">
        <v>126</v>
      </c>
      <c r="B540" s="179" t="s">
        <v>412</v>
      </c>
      <c r="C540" s="66" t="s">
        <v>392</v>
      </c>
      <c r="D540" s="66" t="s">
        <v>148</v>
      </c>
      <c r="E540" s="66" t="s">
        <v>57</v>
      </c>
      <c r="F540" s="66" t="s">
        <v>287</v>
      </c>
      <c r="G540" s="188">
        <f t="shared" si="32"/>
        <v>0</v>
      </c>
      <c r="H540" s="188"/>
      <c r="I540" s="275"/>
    </row>
    <row r="541" spans="1:9" ht="30" hidden="1">
      <c r="A541" s="35" t="s">
        <v>127</v>
      </c>
      <c r="B541" s="179" t="s">
        <v>412</v>
      </c>
      <c r="C541" s="66" t="s">
        <v>392</v>
      </c>
      <c r="D541" s="66" t="s">
        <v>148</v>
      </c>
      <c r="E541" s="66" t="s">
        <v>58</v>
      </c>
      <c r="F541" s="66" t="s">
        <v>287</v>
      </c>
      <c r="G541" s="188">
        <f t="shared" si="32"/>
        <v>0</v>
      </c>
      <c r="H541" s="188"/>
      <c r="I541" s="275"/>
    </row>
    <row r="542" spans="1:9" ht="45">
      <c r="A542" s="110" t="s">
        <v>473</v>
      </c>
      <c r="B542" s="473" t="s">
        <v>412</v>
      </c>
      <c r="C542" s="115" t="s">
        <v>392</v>
      </c>
      <c r="D542" s="115" t="s">
        <v>148</v>
      </c>
      <c r="E542" s="115" t="s">
        <v>29</v>
      </c>
      <c r="F542" s="115" t="s">
        <v>409</v>
      </c>
      <c r="G542" s="188">
        <f t="shared" si="32"/>
        <v>176220.223</v>
      </c>
      <c r="H542" s="188">
        <f>H543</f>
        <v>0</v>
      </c>
      <c r="I542" s="188">
        <f>I543</f>
        <v>176220.223</v>
      </c>
    </row>
    <row r="543" spans="1:9" ht="45">
      <c r="A543" s="183" t="s">
        <v>261</v>
      </c>
      <c r="B543" s="179" t="s">
        <v>412</v>
      </c>
      <c r="C543" s="66" t="s">
        <v>392</v>
      </c>
      <c r="D543" s="66" t="s">
        <v>148</v>
      </c>
      <c r="E543" s="66" t="s">
        <v>47</v>
      </c>
      <c r="F543" s="66" t="s">
        <v>409</v>
      </c>
      <c r="G543" s="188">
        <f t="shared" si="32"/>
        <v>176220.223</v>
      </c>
      <c r="H543" s="188">
        <f>H544</f>
        <v>0</v>
      </c>
      <c r="I543" s="188">
        <f>I544</f>
        <v>176220.223</v>
      </c>
    </row>
    <row r="544" spans="1:9" ht="15">
      <c r="A544" s="251" t="s">
        <v>167</v>
      </c>
      <c r="B544" s="483" t="s">
        <v>412</v>
      </c>
      <c r="C544" s="464" t="s">
        <v>392</v>
      </c>
      <c r="D544" s="464" t="s">
        <v>148</v>
      </c>
      <c r="E544" s="464" t="s">
        <v>320</v>
      </c>
      <c r="F544" s="464" t="s">
        <v>409</v>
      </c>
      <c r="G544" s="318">
        <f>H544+I544</f>
        <v>176220.223</v>
      </c>
      <c r="H544" s="319">
        <f>H545+H547+H553</f>
        <v>0</v>
      </c>
      <c r="I544" s="319">
        <f>I545+I547+I550+I553</f>
        <v>176220.223</v>
      </c>
    </row>
    <row r="545" spans="1:9" ht="55.5" customHeight="1" hidden="1">
      <c r="A545" s="35" t="s">
        <v>180</v>
      </c>
      <c r="B545" s="179" t="s">
        <v>412</v>
      </c>
      <c r="C545" s="66" t="s">
        <v>392</v>
      </c>
      <c r="D545" s="66" t="s">
        <v>148</v>
      </c>
      <c r="E545" s="66" t="s">
        <v>128</v>
      </c>
      <c r="F545" s="66" t="s">
        <v>409</v>
      </c>
      <c r="G545" s="188">
        <f t="shared" si="32"/>
        <v>0</v>
      </c>
      <c r="H545" s="275">
        <f>H546</f>
        <v>0</v>
      </c>
      <c r="I545" s="275">
        <f>I546</f>
        <v>0</v>
      </c>
    </row>
    <row r="546" spans="1:9" ht="15" hidden="1">
      <c r="A546" s="35" t="s">
        <v>167</v>
      </c>
      <c r="B546" s="179" t="s">
        <v>412</v>
      </c>
      <c r="C546" s="66" t="s">
        <v>392</v>
      </c>
      <c r="D546" s="66" t="s">
        <v>148</v>
      </c>
      <c r="E546" s="66" t="s">
        <v>128</v>
      </c>
      <c r="F546" s="66" t="s">
        <v>374</v>
      </c>
      <c r="G546" s="188">
        <f t="shared" si="32"/>
        <v>0</v>
      </c>
      <c r="H546" s="275"/>
      <c r="I546" s="275"/>
    </row>
    <row r="547" spans="1:9" ht="54.75" customHeight="1">
      <c r="A547" s="229" t="s">
        <v>584</v>
      </c>
      <c r="B547" s="482" t="s">
        <v>412</v>
      </c>
      <c r="C547" s="230" t="s">
        <v>392</v>
      </c>
      <c r="D547" s="230" t="s">
        <v>148</v>
      </c>
      <c r="E547" s="230" t="s">
        <v>47</v>
      </c>
      <c r="F547" s="230" t="s">
        <v>409</v>
      </c>
      <c r="G547" s="243">
        <f t="shared" si="32"/>
        <v>7270.9</v>
      </c>
      <c r="H547" s="317">
        <f>H548</f>
        <v>0</v>
      </c>
      <c r="I547" s="317">
        <f>I548</f>
        <v>7270.9</v>
      </c>
    </row>
    <row r="548" spans="1:9" ht="45">
      <c r="A548" s="35" t="s">
        <v>210</v>
      </c>
      <c r="B548" s="43" t="s">
        <v>412</v>
      </c>
      <c r="C548" s="66" t="s">
        <v>392</v>
      </c>
      <c r="D548" s="66" t="s">
        <v>148</v>
      </c>
      <c r="E548" s="66" t="s">
        <v>585</v>
      </c>
      <c r="F548" s="66" t="s">
        <v>211</v>
      </c>
      <c r="G548" s="188">
        <f t="shared" si="32"/>
        <v>7270.9</v>
      </c>
      <c r="H548" s="188"/>
      <c r="I548" s="188">
        <f>I549</f>
        <v>7270.9</v>
      </c>
    </row>
    <row r="549" spans="1:9" ht="15">
      <c r="A549" s="84" t="s">
        <v>212</v>
      </c>
      <c r="B549" s="43" t="s">
        <v>412</v>
      </c>
      <c r="C549" s="66" t="s">
        <v>392</v>
      </c>
      <c r="D549" s="66" t="s">
        <v>148</v>
      </c>
      <c r="E549" s="66" t="s">
        <v>585</v>
      </c>
      <c r="F549" s="66" t="s">
        <v>287</v>
      </c>
      <c r="G549" s="188">
        <f t="shared" si="32"/>
        <v>7270.9</v>
      </c>
      <c r="H549" s="188"/>
      <c r="I549" s="188">
        <v>7270.9</v>
      </c>
    </row>
    <row r="550" spans="1:9" ht="69.75" customHeight="1">
      <c r="A550" s="110" t="s">
        <v>791</v>
      </c>
      <c r="B550" s="175" t="s">
        <v>412</v>
      </c>
      <c r="C550" s="115" t="s">
        <v>392</v>
      </c>
      <c r="D550" s="115" t="s">
        <v>148</v>
      </c>
      <c r="E550" s="115" t="s">
        <v>792</v>
      </c>
      <c r="F550" s="115" t="s">
        <v>409</v>
      </c>
      <c r="G550" s="218">
        <f>H550+I550</f>
        <v>10876.6</v>
      </c>
      <c r="H550" s="218">
        <v>0</v>
      </c>
      <c r="I550" s="218">
        <f>I551</f>
        <v>10876.6</v>
      </c>
    </row>
    <row r="551" spans="1:9" ht="45">
      <c r="A551" s="35" t="s">
        <v>210</v>
      </c>
      <c r="B551" s="43" t="s">
        <v>412</v>
      </c>
      <c r="C551" s="66" t="s">
        <v>392</v>
      </c>
      <c r="D551" s="66" t="s">
        <v>148</v>
      </c>
      <c r="E551" s="66" t="s">
        <v>792</v>
      </c>
      <c r="F551" s="66" t="s">
        <v>211</v>
      </c>
      <c r="G551" s="188">
        <f>H551+I551</f>
        <v>10876.6</v>
      </c>
      <c r="H551" s="188"/>
      <c r="I551" s="188">
        <f>I552</f>
        <v>10876.6</v>
      </c>
    </row>
    <row r="552" spans="1:9" ht="15">
      <c r="A552" s="35" t="s">
        <v>212</v>
      </c>
      <c r="B552" s="43" t="s">
        <v>412</v>
      </c>
      <c r="C552" s="66" t="s">
        <v>392</v>
      </c>
      <c r="D552" s="66" t="s">
        <v>148</v>
      </c>
      <c r="E552" s="66" t="s">
        <v>792</v>
      </c>
      <c r="F552" s="66" t="s">
        <v>287</v>
      </c>
      <c r="G552" s="188">
        <f>H552+I552</f>
        <v>10876.6</v>
      </c>
      <c r="H552" s="188"/>
      <c r="I552" s="188">
        <f>18147.5-7270.9</f>
        <v>10876.6</v>
      </c>
    </row>
    <row r="553" spans="1:9" ht="75">
      <c r="A553" s="229" t="s">
        <v>181</v>
      </c>
      <c r="B553" s="482" t="s">
        <v>412</v>
      </c>
      <c r="C553" s="230" t="s">
        <v>392</v>
      </c>
      <c r="D553" s="230" t="s">
        <v>148</v>
      </c>
      <c r="E553" s="230" t="s">
        <v>61</v>
      </c>
      <c r="F553" s="230" t="s">
        <v>409</v>
      </c>
      <c r="G553" s="243">
        <f t="shared" si="32"/>
        <v>158072.723</v>
      </c>
      <c r="H553" s="317">
        <f>H554</f>
        <v>0</v>
      </c>
      <c r="I553" s="317">
        <f>I554</f>
        <v>158072.723</v>
      </c>
    </row>
    <row r="554" spans="1:9" ht="45">
      <c r="A554" s="42" t="s">
        <v>210</v>
      </c>
      <c r="B554" s="179" t="s">
        <v>412</v>
      </c>
      <c r="C554" s="66" t="s">
        <v>392</v>
      </c>
      <c r="D554" s="66" t="s">
        <v>148</v>
      </c>
      <c r="E554" s="66" t="s">
        <v>61</v>
      </c>
      <c r="F554" s="66" t="s">
        <v>211</v>
      </c>
      <c r="G554" s="188">
        <f t="shared" si="32"/>
        <v>158072.723</v>
      </c>
      <c r="H554" s="275"/>
      <c r="I554" s="188">
        <f>I555</f>
        <v>158072.723</v>
      </c>
    </row>
    <row r="555" spans="1:9" ht="15">
      <c r="A555" s="35" t="s">
        <v>212</v>
      </c>
      <c r="B555" s="179" t="s">
        <v>412</v>
      </c>
      <c r="C555" s="66" t="s">
        <v>392</v>
      </c>
      <c r="D555" s="66" t="s">
        <v>148</v>
      </c>
      <c r="E555" s="66" t="s">
        <v>61</v>
      </c>
      <c r="F555" s="66" t="s">
        <v>287</v>
      </c>
      <c r="G555" s="188">
        <f t="shared" si="32"/>
        <v>158072.723</v>
      </c>
      <c r="H555" s="275"/>
      <c r="I555" s="188">
        <f>161257.823-3185.1</f>
        <v>158072.723</v>
      </c>
    </row>
    <row r="556" spans="1:9" s="562" customFormat="1" ht="87" customHeight="1">
      <c r="A556" s="110" t="s">
        <v>785</v>
      </c>
      <c r="B556" s="175" t="s">
        <v>412</v>
      </c>
      <c r="C556" s="115" t="s">
        <v>392</v>
      </c>
      <c r="D556" s="115" t="s">
        <v>148</v>
      </c>
      <c r="E556" s="115" t="s">
        <v>793</v>
      </c>
      <c r="F556" s="115" t="s">
        <v>409</v>
      </c>
      <c r="G556" s="218">
        <f aca="true" t="shared" si="33" ref="G556:G561">H556+I556</f>
        <v>12051</v>
      </c>
      <c r="H556" s="218">
        <v>0</v>
      </c>
      <c r="I556" s="218">
        <f>I557</f>
        <v>12051</v>
      </c>
    </row>
    <row r="557" spans="1:9" ht="45">
      <c r="A557" s="35" t="s">
        <v>210</v>
      </c>
      <c r="B557" s="43" t="s">
        <v>412</v>
      </c>
      <c r="C557" s="66" t="s">
        <v>392</v>
      </c>
      <c r="D557" s="66" t="s">
        <v>148</v>
      </c>
      <c r="E557" s="66" t="s">
        <v>793</v>
      </c>
      <c r="F557" s="66" t="s">
        <v>211</v>
      </c>
      <c r="G557" s="188">
        <f t="shared" si="33"/>
        <v>12051</v>
      </c>
      <c r="H557" s="188"/>
      <c r="I557" s="188">
        <f>I558</f>
        <v>12051</v>
      </c>
    </row>
    <row r="558" spans="1:9" ht="15">
      <c r="A558" s="35" t="s">
        <v>212</v>
      </c>
      <c r="B558" s="43" t="s">
        <v>412</v>
      </c>
      <c r="C558" s="66" t="s">
        <v>392</v>
      </c>
      <c r="D558" s="66" t="s">
        <v>148</v>
      </c>
      <c r="E558" s="66" t="s">
        <v>793</v>
      </c>
      <c r="F558" s="66" t="s">
        <v>287</v>
      </c>
      <c r="G558" s="188">
        <f t="shared" si="33"/>
        <v>12051</v>
      </c>
      <c r="H558" s="188"/>
      <c r="I558" s="188">
        <v>12051</v>
      </c>
    </row>
    <row r="559" spans="1:9" ht="45" hidden="1">
      <c r="A559" s="205" t="s">
        <v>865</v>
      </c>
      <c r="B559" s="175" t="s">
        <v>412</v>
      </c>
      <c r="C559" s="115" t="s">
        <v>392</v>
      </c>
      <c r="D559" s="115" t="s">
        <v>148</v>
      </c>
      <c r="E559" s="206" t="s">
        <v>11</v>
      </c>
      <c r="F559" s="115" t="s">
        <v>409</v>
      </c>
      <c r="G559" s="218">
        <f t="shared" si="33"/>
        <v>0</v>
      </c>
      <c r="H559" s="218">
        <f>H560</f>
        <v>0</v>
      </c>
      <c r="I559" s="218">
        <f>I560</f>
        <v>0</v>
      </c>
    </row>
    <row r="560" spans="1:9" ht="75" hidden="1">
      <c r="A560" s="341" t="s">
        <v>863</v>
      </c>
      <c r="B560" s="43" t="s">
        <v>412</v>
      </c>
      <c r="C560" s="66" t="s">
        <v>392</v>
      </c>
      <c r="D560" s="66" t="s">
        <v>148</v>
      </c>
      <c r="E560" s="189" t="s">
        <v>11</v>
      </c>
      <c r="F560" s="66" t="s">
        <v>211</v>
      </c>
      <c r="G560" s="188">
        <f t="shared" si="33"/>
        <v>0</v>
      </c>
      <c r="H560" s="188">
        <f>H561</f>
        <v>0</v>
      </c>
      <c r="I560" s="188">
        <f>I561</f>
        <v>0</v>
      </c>
    </row>
    <row r="561" spans="1:9" ht="15" hidden="1">
      <c r="A561" s="341" t="s">
        <v>212</v>
      </c>
      <c r="B561" s="43" t="s">
        <v>412</v>
      </c>
      <c r="C561" s="66" t="s">
        <v>392</v>
      </c>
      <c r="D561" s="66" t="s">
        <v>148</v>
      </c>
      <c r="E561" s="189" t="s">
        <v>11</v>
      </c>
      <c r="F561" s="66" t="s">
        <v>287</v>
      </c>
      <c r="G561" s="188">
        <f t="shared" si="33"/>
        <v>0</v>
      </c>
      <c r="H561" s="188">
        <v>0</v>
      </c>
      <c r="I561" s="188"/>
    </row>
    <row r="562" spans="1:9" ht="45">
      <c r="A562" s="110" t="s">
        <v>473</v>
      </c>
      <c r="B562" s="175" t="s">
        <v>412</v>
      </c>
      <c r="C562" s="115" t="s">
        <v>392</v>
      </c>
      <c r="D562" s="115" t="s">
        <v>153</v>
      </c>
      <c r="E562" s="115" t="s">
        <v>29</v>
      </c>
      <c r="F562" s="115" t="s">
        <v>409</v>
      </c>
      <c r="G562" s="218">
        <f t="shared" si="32"/>
        <v>20013.545000000002</v>
      </c>
      <c r="H562" s="218">
        <f>H563</f>
        <v>20013.545000000002</v>
      </c>
      <c r="I562" s="218">
        <f>I563</f>
        <v>0</v>
      </c>
    </row>
    <row r="563" spans="1:9" ht="33" customHeight="1">
      <c r="A563" s="183" t="s">
        <v>289</v>
      </c>
      <c r="B563" s="179" t="s">
        <v>412</v>
      </c>
      <c r="C563" s="66" t="s">
        <v>392</v>
      </c>
      <c r="D563" s="66" t="s">
        <v>153</v>
      </c>
      <c r="E563" s="66" t="s">
        <v>55</v>
      </c>
      <c r="F563" s="66" t="s">
        <v>409</v>
      </c>
      <c r="G563" s="188">
        <f t="shared" si="32"/>
        <v>20013.545000000002</v>
      </c>
      <c r="H563" s="275">
        <f>H564</f>
        <v>20013.545000000002</v>
      </c>
      <c r="I563" s="275">
        <f>I564</f>
        <v>0</v>
      </c>
    </row>
    <row r="564" spans="1:9" ht="45">
      <c r="A564" s="35" t="s">
        <v>210</v>
      </c>
      <c r="B564" s="179" t="s">
        <v>412</v>
      </c>
      <c r="C564" s="66" t="s">
        <v>392</v>
      </c>
      <c r="D564" s="66" t="s">
        <v>153</v>
      </c>
      <c r="E564" s="66" t="s">
        <v>56</v>
      </c>
      <c r="F564" s="66" t="s">
        <v>211</v>
      </c>
      <c r="G564" s="188">
        <f t="shared" si="32"/>
        <v>20013.545000000002</v>
      </c>
      <c r="H564" s="275">
        <f>H565+H567+H566+H568+H569</f>
        <v>20013.545000000002</v>
      </c>
      <c r="I564" s="188"/>
    </row>
    <row r="565" spans="1:9" ht="30">
      <c r="A565" s="35" t="s">
        <v>126</v>
      </c>
      <c r="B565" s="179" t="s">
        <v>412</v>
      </c>
      <c r="C565" s="66" t="s">
        <v>392</v>
      </c>
      <c r="D565" s="66" t="s">
        <v>153</v>
      </c>
      <c r="E565" s="66" t="s">
        <v>57</v>
      </c>
      <c r="F565" s="66" t="s">
        <v>287</v>
      </c>
      <c r="G565" s="188">
        <f t="shared" si="32"/>
        <v>6365.1</v>
      </c>
      <c r="H565" s="188">
        <f>3819.1+1302.2+180+1017.8+46</f>
        <v>6365.1</v>
      </c>
      <c r="I565" s="188">
        <v>0</v>
      </c>
    </row>
    <row r="566" spans="1:9" ht="48.75" customHeight="1">
      <c r="A566" s="176" t="s">
        <v>871</v>
      </c>
      <c r="B566" s="200" t="s">
        <v>412</v>
      </c>
      <c r="C566" s="174" t="s">
        <v>392</v>
      </c>
      <c r="D566" s="174" t="s">
        <v>153</v>
      </c>
      <c r="E566" s="174" t="s">
        <v>870</v>
      </c>
      <c r="F566" s="174" t="s">
        <v>287</v>
      </c>
      <c r="G566" s="201">
        <f t="shared" si="32"/>
        <v>48</v>
      </c>
      <c r="H566" s="201">
        <v>48</v>
      </c>
      <c r="I566" s="201">
        <v>0</v>
      </c>
    </row>
    <row r="567" spans="1:9" ht="30">
      <c r="A567" s="35" t="s">
        <v>898</v>
      </c>
      <c r="B567" s="179" t="s">
        <v>412</v>
      </c>
      <c r="C567" s="66" t="s">
        <v>392</v>
      </c>
      <c r="D567" s="66" t="s">
        <v>153</v>
      </c>
      <c r="E567" s="66" t="s">
        <v>58</v>
      </c>
      <c r="F567" s="66" t="s">
        <v>287</v>
      </c>
      <c r="G567" s="188">
        <f t="shared" si="32"/>
        <v>12381.48</v>
      </c>
      <c r="H567" s="188">
        <f>8578.88+2555.1+617-220+850.5</f>
        <v>12381.48</v>
      </c>
      <c r="I567" s="188">
        <v>0</v>
      </c>
    </row>
    <row r="568" spans="1:9" ht="77.25" customHeight="1">
      <c r="A568" s="35" t="s">
        <v>913</v>
      </c>
      <c r="B568" s="43" t="s">
        <v>412</v>
      </c>
      <c r="C568" s="66" t="s">
        <v>392</v>
      </c>
      <c r="D568" s="66" t="s">
        <v>153</v>
      </c>
      <c r="E568" s="66" t="s">
        <v>899</v>
      </c>
      <c r="F568" s="66" t="s">
        <v>287</v>
      </c>
      <c r="G568" s="188">
        <f>H568</f>
        <v>297</v>
      </c>
      <c r="H568" s="188">
        <f>220+46+31</f>
        <v>297</v>
      </c>
      <c r="I568" s="188"/>
    </row>
    <row r="569" spans="1:9" ht="31.5" customHeight="1">
      <c r="A569" s="181" t="s">
        <v>887</v>
      </c>
      <c r="B569" s="198" t="s">
        <v>412</v>
      </c>
      <c r="C569" s="182" t="s">
        <v>392</v>
      </c>
      <c r="D569" s="182" t="s">
        <v>153</v>
      </c>
      <c r="E569" s="182" t="s">
        <v>888</v>
      </c>
      <c r="F569" s="182" t="s">
        <v>409</v>
      </c>
      <c r="G569" s="217">
        <f aca="true" t="shared" si="34" ref="G569:G574">H569+I569</f>
        <v>921.965</v>
      </c>
      <c r="H569" s="217">
        <f>H570</f>
        <v>921.965</v>
      </c>
      <c r="I569" s="217"/>
    </row>
    <row r="570" spans="1:9" ht="45" customHeight="1">
      <c r="A570" s="35" t="s">
        <v>210</v>
      </c>
      <c r="B570" s="43" t="s">
        <v>412</v>
      </c>
      <c r="C570" s="66" t="s">
        <v>392</v>
      </c>
      <c r="D570" s="66" t="s">
        <v>153</v>
      </c>
      <c r="E570" s="66" t="s">
        <v>888</v>
      </c>
      <c r="F570" s="66" t="s">
        <v>211</v>
      </c>
      <c r="G570" s="188">
        <f t="shared" si="34"/>
        <v>921.965</v>
      </c>
      <c r="H570" s="188">
        <f>H571</f>
        <v>921.965</v>
      </c>
      <c r="I570" s="188"/>
    </row>
    <row r="571" spans="1:9" ht="21" customHeight="1">
      <c r="A571" s="35" t="s">
        <v>212</v>
      </c>
      <c r="B571" s="43" t="s">
        <v>412</v>
      </c>
      <c r="C571" s="66" t="s">
        <v>392</v>
      </c>
      <c r="D571" s="66" t="s">
        <v>153</v>
      </c>
      <c r="E571" s="66" t="s">
        <v>888</v>
      </c>
      <c r="F571" s="66" t="s">
        <v>287</v>
      </c>
      <c r="G571" s="188">
        <f t="shared" si="34"/>
        <v>921.965</v>
      </c>
      <c r="H571" s="188">
        <f>225+96.966+599.999</f>
        <v>921.965</v>
      </c>
      <c r="I571" s="188"/>
    </row>
    <row r="572" spans="1:9" ht="53.25" customHeight="1">
      <c r="A572" s="181" t="s">
        <v>476</v>
      </c>
      <c r="B572" s="198" t="s">
        <v>412</v>
      </c>
      <c r="C572" s="182" t="s">
        <v>392</v>
      </c>
      <c r="D572" s="182" t="s">
        <v>153</v>
      </c>
      <c r="E572" s="182" t="s">
        <v>935</v>
      </c>
      <c r="F572" s="66" t="s">
        <v>409</v>
      </c>
      <c r="G572" s="188">
        <f t="shared" si="34"/>
        <v>112.5</v>
      </c>
      <c r="H572" s="188">
        <f>H573</f>
        <v>112.5</v>
      </c>
      <c r="I572" s="188">
        <f>I573</f>
        <v>0</v>
      </c>
    </row>
    <row r="573" spans="1:9" ht="45.75" customHeight="1">
      <c r="A573" s="35" t="s">
        <v>210</v>
      </c>
      <c r="B573" s="198" t="s">
        <v>412</v>
      </c>
      <c r="C573" s="182" t="s">
        <v>392</v>
      </c>
      <c r="D573" s="182" t="s">
        <v>153</v>
      </c>
      <c r="E573" s="182" t="s">
        <v>935</v>
      </c>
      <c r="F573" s="66" t="s">
        <v>211</v>
      </c>
      <c r="G573" s="188">
        <f t="shared" si="34"/>
        <v>112.5</v>
      </c>
      <c r="H573" s="188">
        <f>H574</f>
        <v>112.5</v>
      </c>
      <c r="I573" s="188">
        <f>I574</f>
        <v>0</v>
      </c>
    </row>
    <row r="574" spans="1:9" ht="30" customHeight="1">
      <c r="A574" s="35" t="s">
        <v>212</v>
      </c>
      <c r="B574" s="198" t="s">
        <v>412</v>
      </c>
      <c r="C574" s="182" t="s">
        <v>392</v>
      </c>
      <c r="D574" s="182" t="s">
        <v>153</v>
      </c>
      <c r="E574" s="182" t="s">
        <v>935</v>
      </c>
      <c r="F574" s="66" t="s">
        <v>287</v>
      </c>
      <c r="G574" s="188">
        <f t="shared" si="34"/>
        <v>112.5</v>
      </c>
      <c r="H574" s="188">
        <f>25+87.5</f>
        <v>112.5</v>
      </c>
      <c r="I574" s="188">
        <v>0</v>
      </c>
    </row>
    <row r="575" spans="1:9" ht="45">
      <c r="A575" s="110" t="s">
        <v>474</v>
      </c>
      <c r="B575" s="175" t="s">
        <v>412</v>
      </c>
      <c r="C575" s="115" t="s">
        <v>392</v>
      </c>
      <c r="D575" s="115" t="s">
        <v>389</v>
      </c>
      <c r="E575" s="115" t="s">
        <v>29</v>
      </c>
      <c r="F575" s="115" t="s">
        <v>409</v>
      </c>
      <c r="G575" s="218">
        <f t="shared" si="32"/>
        <v>50</v>
      </c>
      <c r="H575" s="218">
        <f aca="true" t="shared" si="35" ref="H575:I578">H576</f>
        <v>50</v>
      </c>
      <c r="I575" s="218">
        <f t="shared" si="35"/>
        <v>0</v>
      </c>
    </row>
    <row r="576" spans="1:9" ht="37.5" customHeight="1">
      <c r="A576" s="183" t="s">
        <v>290</v>
      </c>
      <c r="B576" s="179" t="s">
        <v>412</v>
      </c>
      <c r="C576" s="66" t="s">
        <v>392</v>
      </c>
      <c r="D576" s="66" t="s">
        <v>389</v>
      </c>
      <c r="E576" s="66" t="s">
        <v>62</v>
      </c>
      <c r="F576" s="66" t="s">
        <v>409</v>
      </c>
      <c r="G576" s="188">
        <f t="shared" si="32"/>
        <v>50</v>
      </c>
      <c r="H576" s="275">
        <f t="shared" si="35"/>
        <v>50</v>
      </c>
      <c r="I576" s="275">
        <f t="shared" si="35"/>
        <v>0</v>
      </c>
    </row>
    <row r="577" spans="1:9" ht="30">
      <c r="A577" s="35" t="s">
        <v>256</v>
      </c>
      <c r="B577" s="179" t="s">
        <v>412</v>
      </c>
      <c r="C577" s="66" t="s">
        <v>392</v>
      </c>
      <c r="D577" s="66" t="s">
        <v>389</v>
      </c>
      <c r="E577" s="66" t="s">
        <v>63</v>
      </c>
      <c r="F577" s="66" t="s">
        <v>409</v>
      </c>
      <c r="G577" s="188">
        <f t="shared" si="32"/>
        <v>50</v>
      </c>
      <c r="H577" s="275">
        <f t="shared" si="35"/>
        <v>50</v>
      </c>
      <c r="I577" s="275">
        <f t="shared" si="35"/>
        <v>0</v>
      </c>
    </row>
    <row r="578" spans="1:9" ht="45">
      <c r="A578" s="42" t="s">
        <v>210</v>
      </c>
      <c r="B578" s="179" t="s">
        <v>412</v>
      </c>
      <c r="C578" s="66" t="s">
        <v>392</v>
      </c>
      <c r="D578" s="66" t="s">
        <v>389</v>
      </c>
      <c r="E578" s="66" t="s">
        <v>63</v>
      </c>
      <c r="F578" s="66" t="s">
        <v>211</v>
      </c>
      <c r="G578" s="188">
        <f t="shared" si="32"/>
        <v>50</v>
      </c>
      <c r="H578" s="188">
        <f t="shared" si="35"/>
        <v>50</v>
      </c>
      <c r="I578" s="188">
        <f t="shared" si="35"/>
        <v>0</v>
      </c>
    </row>
    <row r="579" spans="1:9" ht="15">
      <c r="A579" s="42" t="s">
        <v>212</v>
      </c>
      <c r="B579" s="179" t="s">
        <v>412</v>
      </c>
      <c r="C579" s="66" t="s">
        <v>392</v>
      </c>
      <c r="D579" s="66" t="s">
        <v>389</v>
      </c>
      <c r="E579" s="66" t="s">
        <v>63</v>
      </c>
      <c r="F579" s="66" t="s">
        <v>287</v>
      </c>
      <c r="G579" s="188">
        <f t="shared" si="32"/>
        <v>50</v>
      </c>
      <c r="H579" s="275">
        <f>30+20</f>
        <v>50</v>
      </c>
      <c r="I579" s="275"/>
    </row>
    <row r="580" spans="1:9" ht="45">
      <c r="A580" s="110" t="s">
        <v>473</v>
      </c>
      <c r="B580" s="175" t="s">
        <v>412</v>
      </c>
      <c r="C580" s="115" t="s">
        <v>392</v>
      </c>
      <c r="D580" s="115" t="s">
        <v>392</v>
      </c>
      <c r="E580" s="115" t="s">
        <v>29</v>
      </c>
      <c r="F580" s="115" t="s">
        <v>409</v>
      </c>
      <c r="G580" s="218">
        <f t="shared" si="32"/>
        <v>643.72055</v>
      </c>
      <c r="H580" s="218">
        <f>H581+H589</f>
        <v>46.898</v>
      </c>
      <c r="I580" s="218">
        <f>I581+I589</f>
        <v>596.82255</v>
      </c>
    </row>
    <row r="581" spans="1:9" ht="33.75" customHeight="1" hidden="1">
      <c r="A581" s="183" t="s">
        <v>289</v>
      </c>
      <c r="B581" s="43" t="s">
        <v>412</v>
      </c>
      <c r="C581" s="66" t="s">
        <v>392</v>
      </c>
      <c r="D581" s="66" t="s">
        <v>392</v>
      </c>
      <c r="E581" s="66" t="s">
        <v>55</v>
      </c>
      <c r="F581" s="66" t="s">
        <v>409</v>
      </c>
      <c r="G581" s="188">
        <f aca="true" t="shared" si="36" ref="G581:G588">H581+I581</f>
        <v>0</v>
      </c>
      <c r="H581" s="188">
        <f>H582</f>
        <v>0</v>
      </c>
      <c r="I581" s="188">
        <f>I582</f>
        <v>0</v>
      </c>
    </row>
    <row r="582" spans="1:9" ht="60" hidden="1">
      <c r="A582" s="110" t="s">
        <v>671</v>
      </c>
      <c r="B582" s="175" t="s">
        <v>412</v>
      </c>
      <c r="C582" s="115" t="s">
        <v>392</v>
      </c>
      <c r="D582" s="115" t="s">
        <v>392</v>
      </c>
      <c r="E582" s="115" t="s">
        <v>320</v>
      </c>
      <c r="F582" s="115" t="s">
        <v>409</v>
      </c>
      <c r="G582" s="218">
        <f t="shared" si="36"/>
        <v>0</v>
      </c>
      <c r="H582" s="218">
        <f>H586</f>
        <v>0</v>
      </c>
      <c r="I582" s="218">
        <f>I583</f>
        <v>0</v>
      </c>
    </row>
    <row r="583" spans="1:9" ht="75" hidden="1">
      <c r="A583" s="35" t="s">
        <v>684</v>
      </c>
      <c r="B583" s="43" t="s">
        <v>412</v>
      </c>
      <c r="C583" s="66" t="s">
        <v>392</v>
      </c>
      <c r="D583" s="66" t="s">
        <v>392</v>
      </c>
      <c r="E583" s="66" t="s">
        <v>691</v>
      </c>
      <c r="F583" s="66" t="s">
        <v>409</v>
      </c>
      <c r="G583" s="188">
        <f t="shared" si="36"/>
        <v>0</v>
      </c>
      <c r="H583" s="188"/>
      <c r="I583" s="188">
        <f>I584</f>
        <v>0</v>
      </c>
    </row>
    <row r="584" spans="1:9" ht="45" hidden="1">
      <c r="A584" s="35" t="s">
        <v>210</v>
      </c>
      <c r="B584" s="43" t="s">
        <v>412</v>
      </c>
      <c r="C584" s="66" t="s">
        <v>392</v>
      </c>
      <c r="D584" s="66" t="s">
        <v>392</v>
      </c>
      <c r="E584" s="66" t="s">
        <v>691</v>
      </c>
      <c r="F584" s="66" t="s">
        <v>211</v>
      </c>
      <c r="G584" s="188">
        <f t="shared" si="36"/>
        <v>0</v>
      </c>
      <c r="H584" s="188"/>
      <c r="I584" s="188">
        <f>I585</f>
        <v>0</v>
      </c>
    </row>
    <row r="585" spans="1:9" ht="15" hidden="1">
      <c r="A585" s="35" t="s">
        <v>212</v>
      </c>
      <c r="B585" s="43" t="s">
        <v>412</v>
      </c>
      <c r="C585" s="66" t="s">
        <v>392</v>
      </c>
      <c r="D585" s="66" t="s">
        <v>392</v>
      </c>
      <c r="E585" s="66" t="s">
        <v>691</v>
      </c>
      <c r="F585" s="66" t="s">
        <v>287</v>
      </c>
      <c r="G585" s="188">
        <f t="shared" si="36"/>
        <v>0</v>
      </c>
      <c r="H585" s="188"/>
      <c r="I585" s="188">
        <v>0</v>
      </c>
    </row>
    <row r="586" spans="1:9" ht="105" hidden="1">
      <c r="A586" s="35" t="s">
        <v>685</v>
      </c>
      <c r="B586" s="43" t="s">
        <v>412</v>
      </c>
      <c r="C586" s="66" t="s">
        <v>392</v>
      </c>
      <c r="D586" s="66" t="s">
        <v>392</v>
      </c>
      <c r="E586" s="66" t="s">
        <v>742</v>
      </c>
      <c r="F586" s="66" t="s">
        <v>409</v>
      </c>
      <c r="G586" s="188">
        <f t="shared" si="36"/>
        <v>0</v>
      </c>
      <c r="H586" s="188">
        <f>H587</f>
        <v>0</v>
      </c>
      <c r="I586" s="188"/>
    </row>
    <row r="587" spans="1:9" ht="45" hidden="1">
      <c r="A587" s="35" t="s">
        <v>210</v>
      </c>
      <c r="B587" s="43" t="s">
        <v>412</v>
      </c>
      <c r="C587" s="66" t="s">
        <v>392</v>
      </c>
      <c r="D587" s="66" t="s">
        <v>392</v>
      </c>
      <c r="E587" s="66" t="s">
        <v>742</v>
      </c>
      <c r="F587" s="66" t="s">
        <v>211</v>
      </c>
      <c r="G587" s="188">
        <f t="shared" si="36"/>
        <v>0</v>
      </c>
      <c r="H587" s="188">
        <f>H588</f>
        <v>0</v>
      </c>
      <c r="I587" s="188"/>
    </row>
    <row r="588" spans="1:9" ht="15" hidden="1">
      <c r="A588" s="35" t="s">
        <v>212</v>
      </c>
      <c r="B588" s="43" t="s">
        <v>412</v>
      </c>
      <c r="C588" s="66" t="s">
        <v>392</v>
      </c>
      <c r="D588" s="66" t="s">
        <v>392</v>
      </c>
      <c r="E588" s="66" t="s">
        <v>742</v>
      </c>
      <c r="F588" s="66" t="s">
        <v>287</v>
      </c>
      <c r="G588" s="188">
        <f t="shared" si="36"/>
        <v>0</v>
      </c>
      <c r="H588" s="188">
        <v>0</v>
      </c>
      <c r="I588" s="188"/>
    </row>
    <row r="589" spans="1:9" ht="33" customHeight="1">
      <c r="A589" s="183" t="s">
        <v>462</v>
      </c>
      <c r="B589" s="43" t="s">
        <v>412</v>
      </c>
      <c r="C589" s="66" t="s">
        <v>392</v>
      </c>
      <c r="D589" s="66" t="s">
        <v>392</v>
      </c>
      <c r="E589" s="66" t="s">
        <v>64</v>
      </c>
      <c r="F589" s="66" t="s">
        <v>409</v>
      </c>
      <c r="G589" s="188">
        <f t="shared" si="32"/>
        <v>643.72055</v>
      </c>
      <c r="H589" s="188">
        <f>H590+H595</f>
        <v>46.898</v>
      </c>
      <c r="I589" s="188">
        <f>I590</f>
        <v>596.82255</v>
      </c>
    </row>
    <row r="590" spans="1:9" ht="71.25">
      <c r="A590" s="252" t="s">
        <v>739</v>
      </c>
      <c r="B590" s="455" t="s">
        <v>412</v>
      </c>
      <c r="C590" s="484" t="s">
        <v>392</v>
      </c>
      <c r="D590" s="484" t="s">
        <v>392</v>
      </c>
      <c r="E590" s="484" t="s">
        <v>64</v>
      </c>
      <c r="F590" s="484" t="s">
        <v>409</v>
      </c>
      <c r="G590" s="224">
        <f>H590+I590</f>
        <v>596.82255</v>
      </c>
      <c r="H590" s="313">
        <f>H591+H593</f>
        <v>0</v>
      </c>
      <c r="I590" s="313">
        <f>I591+I593</f>
        <v>596.82255</v>
      </c>
    </row>
    <row r="591" spans="1:9" ht="45">
      <c r="A591" s="84" t="s">
        <v>210</v>
      </c>
      <c r="B591" s="179" t="s">
        <v>412</v>
      </c>
      <c r="C591" s="82" t="s">
        <v>392</v>
      </c>
      <c r="D591" s="82" t="s">
        <v>392</v>
      </c>
      <c r="E591" s="66" t="s">
        <v>65</v>
      </c>
      <c r="F591" s="82" t="s">
        <v>211</v>
      </c>
      <c r="G591" s="188">
        <f>H591+I591</f>
        <v>596.82255</v>
      </c>
      <c r="H591" s="275"/>
      <c r="I591" s="275">
        <f>I592</f>
        <v>596.82255</v>
      </c>
    </row>
    <row r="592" spans="1:9" ht="15">
      <c r="A592" s="84" t="s">
        <v>212</v>
      </c>
      <c r="B592" s="179" t="s">
        <v>412</v>
      </c>
      <c r="C592" s="66" t="s">
        <v>392</v>
      </c>
      <c r="D592" s="66" t="s">
        <v>392</v>
      </c>
      <c r="E592" s="66" t="s">
        <v>65</v>
      </c>
      <c r="F592" s="66" t="s">
        <v>287</v>
      </c>
      <c r="G592" s="188">
        <f>H592+I592</f>
        <v>596.82255</v>
      </c>
      <c r="H592" s="275"/>
      <c r="I592" s="223">
        <f>896.82255-300</f>
        <v>596.82255</v>
      </c>
    </row>
    <row r="593" spans="1:9" ht="45" hidden="1">
      <c r="A593" s="84" t="s">
        <v>210</v>
      </c>
      <c r="B593" s="179" t="s">
        <v>412</v>
      </c>
      <c r="C593" s="66" t="s">
        <v>392</v>
      </c>
      <c r="D593" s="66" t="s">
        <v>392</v>
      </c>
      <c r="E593" s="66" t="s">
        <v>65</v>
      </c>
      <c r="F593" s="82" t="s">
        <v>211</v>
      </c>
      <c r="G593" s="188">
        <f t="shared" si="32"/>
        <v>0</v>
      </c>
      <c r="H593" s="275"/>
      <c r="I593" s="275">
        <f>I594</f>
        <v>0</v>
      </c>
    </row>
    <row r="594" spans="1:9" ht="15" hidden="1">
      <c r="A594" s="84" t="s">
        <v>212</v>
      </c>
      <c r="B594" s="179" t="s">
        <v>412</v>
      </c>
      <c r="C594" s="66" t="s">
        <v>392</v>
      </c>
      <c r="D594" s="66" t="s">
        <v>392</v>
      </c>
      <c r="E594" s="66" t="s">
        <v>65</v>
      </c>
      <c r="F594" s="82" t="s">
        <v>287</v>
      </c>
      <c r="G594" s="188">
        <f t="shared" si="32"/>
        <v>0</v>
      </c>
      <c r="H594" s="275"/>
      <c r="I594" s="223"/>
    </row>
    <row r="595" spans="1:9" ht="60">
      <c r="A595" s="35" t="s">
        <v>896</v>
      </c>
      <c r="B595" s="43" t="s">
        <v>412</v>
      </c>
      <c r="C595" s="66" t="s">
        <v>392</v>
      </c>
      <c r="D595" s="66" t="s">
        <v>392</v>
      </c>
      <c r="E595" s="66" t="s">
        <v>895</v>
      </c>
      <c r="F595" s="66" t="s">
        <v>409</v>
      </c>
      <c r="G595" s="188">
        <f>H595</f>
        <v>46.898</v>
      </c>
      <c r="H595" s="188">
        <f>H596</f>
        <v>46.898</v>
      </c>
      <c r="I595" s="188"/>
    </row>
    <row r="596" spans="1:9" ht="45">
      <c r="A596" s="84" t="s">
        <v>210</v>
      </c>
      <c r="B596" s="43" t="s">
        <v>412</v>
      </c>
      <c r="C596" s="66" t="s">
        <v>392</v>
      </c>
      <c r="D596" s="66" t="s">
        <v>392</v>
      </c>
      <c r="E596" s="66" t="s">
        <v>895</v>
      </c>
      <c r="F596" s="66" t="s">
        <v>211</v>
      </c>
      <c r="G596" s="188">
        <f>H596</f>
        <v>46.898</v>
      </c>
      <c r="H596" s="188">
        <f>H597</f>
        <v>46.898</v>
      </c>
      <c r="I596" s="188"/>
    </row>
    <row r="597" spans="1:9" ht="15">
      <c r="A597" s="84" t="s">
        <v>212</v>
      </c>
      <c r="B597" s="43" t="s">
        <v>412</v>
      </c>
      <c r="C597" s="66" t="s">
        <v>392</v>
      </c>
      <c r="D597" s="66" t="s">
        <v>392</v>
      </c>
      <c r="E597" s="66" t="s">
        <v>895</v>
      </c>
      <c r="F597" s="66" t="s">
        <v>287</v>
      </c>
      <c r="G597" s="188">
        <f>H597</f>
        <v>46.898</v>
      </c>
      <c r="H597" s="188">
        <v>46.898</v>
      </c>
      <c r="I597" s="188"/>
    </row>
    <row r="598" spans="1:9" ht="18" customHeight="1">
      <c r="A598" s="239" t="s">
        <v>368</v>
      </c>
      <c r="B598" s="456" t="s">
        <v>412</v>
      </c>
      <c r="C598" s="465" t="s">
        <v>392</v>
      </c>
      <c r="D598" s="465" t="s">
        <v>377</v>
      </c>
      <c r="E598" s="465" t="s">
        <v>320</v>
      </c>
      <c r="F598" s="465" t="s">
        <v>409</v>
      </c>
      <c r="G598" s="306">
        <f>H598+I598</f>
        <v>47972.387</v>
      </c>
      <c r="H598" s="249">
        <f>H599+H614+H620+H624+H629+H634</f>
        <v>47972.387</v>
      </c>
      <c r="I598" s="249">
        <f>I599</f>
        <v>0</v>
      </c>
    </row>
    <row r="599" spans="1:9" ht="45">
      <c r="A599" s="110" t="s">
        <v>473</v>
      </c>
      <c r="B599" s="473" t="s">
        <v>412</v>
      </c>
      <c r="C599" s="115" t="s">
        <v>392</v>
      </c>
      <c r="D599" s="115" t="s">
        <v>377</v>
      </c>
      <c r="E599" s="115" t="s">
        <v>29</v>
      </c>
      <c r="F599" s="115" t="s">
        <v>409</v>
      </c>
      <c r="G599" s="218">
        <f t="shared" si="32"/>
        <v>43972.187000000005</v>
      </c>
      <c r="H599" s="312">
        <f>H600</f>
        <v>43972.187000000005</v>
      </c>
      <c r="I599" s="312"/>
    </row>
    <row r="600" spans="1:10" ht="31.5" customHeight="1">
      <c r="A600" s="183" t="s">
        <v>262</v>
      </c>
      <c r="B600" s="179" t="s">
        <v>412</v>
      </c>
      <c r="C600" s="66" t="s">
        <v>392</v>
      </c>
      <c r="D600" s="66" t="s">
        <v>377</v>
      </c>
      <c r="E600" s="66" t="s">
        <v>67</v>
      </c>
      <c r="F600" s="66" t="s">
        <v>409</v>
      </c>
      <c r="G600" s="188">
        <f t="shared" si="32"/>
        <v>43972.187000000005</v>
      </c>
      <c r="H600" s="275">
        <f>H601+H609</f>
        <v>43972.187000000005</v>
      </c>
      <c r="I600" s="275"/>
      <c r="J600" s="561"/>
    </row>
    <row r="601" spans="1:9" ht="54.75" customHeight="1">
      <c r="A601" s="35" t="s">
        <v>257</v>
      </c>
      <c r="B601" s="179" t="s">
        <v>412</v>
      </c>
      <c r="C601" s="66" t="s">
        <v>392</v>
      </c>
      <c r="D601" s="66" t="s">
        <v>377</v>
      </c>
      <c r="E601" s="66" t="s">
        <v>67</v>
      </c>
      <c r="F601" s="66" t="s">
        <v>409</v>
      </c>
      <c r="G601" s="188">
        <f t="shared" si="32"/>
        <v>40912.73</v>
      </c>
      <c r="H601" s="223">
        <f>H602+H604+H606</f>
        <v>40912.73</v>
      </c>
      <c r="I601" s="275">
        <f>I602+I604+I606</f>
        <v>0</v>
      </c>
    </row>
    <row r="602" spans="1:9" ht="81" customHeight="1">
      <c r="A602" s="42" t="s">
        <v>184</v>
      </c>
      <c r="B602" s="179" t="s">
        <v>412</v>
      </c>
      <c r="C602" s="66" t="s">
        <v>392</v>
      </c>
      <c r="D602" s="66" t="s">
        <v>377</v>
      </c>
      <c r="E602" s="66" t="s">
        <v>67</v>
      </c>
      <c r="F602" s="66" t="s">
        <v>151</v>
      </c>
      <c r="G602" s="188">
        <f t="shared" si="32"/>
        <v>34785.63</v>
      </c>
      <c r="H602" s="223">
        <f>H603</f>
        <v>34785.63</v>
      </c>
      <c r="I602" s="275">
        <f>I603</f>
        <v>0</v>
      </c>
    </row>
    <row r="603" spans="1:10" ht="30">
      <c r="A603" s="42" t="s">
        <v>200</v>
      </c>
      <c r="B603" s="179" t="s">
        <v>412</v>
      </c>
      <c r="C603" s="66" t="s">
        <v>392</v>
      </c>
      <c r="D603" s="66" t="s">
        <v>377</v>
      </c>
      <c r="E603" s="66" t="s">
        <v>67</v>
      </c>
      <c r="F603" s="66" t="s">
        <v>158</v>
      </c>
      <c r="G603" s="188">
        <f>H603+I603</f>
        <v>34785.63</v>
      </c>
      <c r="H603" s="272">
        <f>34785.63</f>
        <v>34785.63</v>
      </c>
      <c r="I603" s="275"/>
      <c r="J603" s="554"/>
    </row>
    <row r="604" spans="1:9" ht="30">
      <c r="A604" s="35" t="s">
        <v>187</v>
      </c>
      <c r="B604" s="179" t="s">
        <v>412</v>
      </c>
      <c r="C604" s="66" t="s">
        <v>392</v>
      </c>
      <c r="D604" s="66" t="s">
        <v>377</v>
      </c>
      <c r="E604" s="66" t="s">
        <v>67</v>
      </c>
      <c r="F604" s="66" t="s">
        <v>155</v>
      </c>
      <c r="G604" s="188">
        <f>H604+I604</f>
        <v>5788.472000000009</v>
      </c>
      <c r="H604" s="272">
        <f>H605</f>
        <v>5788.472000000009</v>
      </c>
      <c r="I604" s="275">
        <f>I605</f>
        <v>0</v>
      </c>
    </row>
    <row r="605" spans="1:10" ht="45">
      <c r="A605" s="84" t="s">
        <v>188</v>
      </c>
      <c r="B605" s="43" t="s">
        <v>412</v>
      </c>
      <c r="C605" s="66" t="s">
        <v>392</v>
      </c>
      <c r="D605" s="66" t="s">
        <v>377</v>
      </c>
      <c r="E605" s="66" t="s">
        <v>67</v>
      </c>
      <c r="F605" s="66" t="s">
        <v>189</v>
      </c>
      <c r="G605" s="188">
        <f>H605+I605</f>
        <v>5788.472000000009</v>
      </c>
      <c r="H605" s="188">
        <f>40712.73-89.2-34785.63-49.428</f>
        <v>5788.472000000009</v>
      </c>
      <c r="I605" s="275"/>
      <c r="J605" s="554"/>
    </row>
    <row r="606" spans="1:9" ht="15">
      <c r="A606" s="35" t="s">
        <v>192</v>
      </c>
      <c r="B606" s="43" t="s">
        <v>412</v>
      </c>
      <c r="C606" s="66" t="s">
        <v>392</v>
      </c>
      <c r="D606" s="66" t="s">
        <v>377</v>
      </c>
      <c r="E606" s="66" t="s">
        <v>67</v>
      </c>
      <c r="F606" s="66" t="s">
        <v>193</v>
      </c>
      <c r="G606" s="188">
        <f>H606+I606</f>
        <v>338.628</v>
      </c>
      <c r="H606" s="188">
        <f>H607+H608</f>
        <v>338.628</v>
      </c>
      <c r="I606" s="275">
        <f>I608</f>
        <v>0</v>
      </c>
    </row>
    <row r="607" spans="1:9" ht="15" hidden="1">
      <c r="A607" s="35" t="s">
        <v>196</v>
      </c>
      <c r="B607" s="43" t="s">
        <v>412</v>
      </c>
      <c r="C607" s="66" t="s">
        <v>392</v>
      </c>
      <c r="D607" s="66" t="s">
        <v>377</v>
      </c>
      <c r="E607" s="66" t="s">
        <v>67</v>
      </c>
      <c r="F607" s="66" t="s">
        <v>197</v>
      </c>
      <c r="G607" s="188">
        <f>H607</f>
        <v>0</v>
      </c>
      <c r="H607" s="188"/>
      <c r="I607" s="275"/>
    </row>
    <row r="608" spans="1:9" ht="15">
      <c r="A608" s="35" t="s">
        <v>190</v>
      </c>
      <c r="B608" s="43" t="s">
        <v>412</v>
      </c>
      <c r="C608" s="66" t="s">
        <v>392</v>
      </c>
      <c r="D608" s="66" t="s">
        <v>377</v>
      </c>
      <c r="E608" s="66" t="s">
        <v>67</v>
      </c>
      <c r="F608" s="66" t="s">
        <v>191</v>
      </c>
      <c r="G608" s="188">
        <f>H608+I608</f>
        <v>338.628</v>
      </c>
      <c r="H608" s="188">
        <f>89.2+200+49.428</f>
        <v>338.628</v>
      </c>
      <c r="I608" s="275"/>
    </row>
    <row r="609" spans="1:9" ht="63" customHeight="1">
      <c r="A609" s="183" t="s">
        <v>541</v>
      </c>
      <c r="B609" s="43" t="s">
        <v>412</v>
      </c>
      <c r="C609" s="66" t="s">
        <v>392</v>
      </c>
      <c r="D609" s="66" t="s">
        <v>377</v>
      </c>
      <c r="E609" s="66" t="s">
        <v>67</v>
      </c>
      <c r="F609" s="66" t="s">
        <v>409</v>
      </c>
      <c r="G609" s="188">
        <f>H609</f>
        <v>3059.457</v>
      </c>
      <c r="H609" s="188">
        <f>H610+H612</f>
        <v>3059.457</v>
      </c>
      <c r="I609" s="272"/>
    </row>
    <row r="610" spans="1:9" ht="90">
      <c r="A610" s="35" t="s">
        <v>184</v>
      </c>
      <c r="B610" s="43" t="s">
        <v>412</v>
      </c>
      <c r="C610" s="66" t="s">
        <v>392</v>
      </c>
      <c r="D610" s="66" t="s">
        <v>377</v>
      </c>
      <c r="E610" s="66" t="s">
        <v>67</v>
      </c>
      <c r="F610" s="66" t="s">
        <v>151</v>
      </c>
      <c r="G610" s="188">
        <f>H610</f>
        <v>2969.457</v>
      </c>
      <c r="H610" s="188">
        <f>H611</f>
        <v>2969.457</v>
      </c>
      <c r="I610" s="272"/>
    </row>
    <row r="611" spans="1:10" ht="30">
      <c r="A611" s="35" t="s">
        <v>200</v>
      </c>
      <c r="B611" s="43" t="s">
        <v>412</v>
      </c>
      <c r="C611" s="66" t="s">
        <v>392</v>
      </c>
      <c r="D611" s="66" t="s">
        <v>377</v>
      </c>
      <c r="E611" s="66" t="s">
        <v>67</v>
      </c>
      <c r="F611" s="66" t="s">
        <v>158</v>
      </c>
      <c r="G611" s="188">
        <f>H611</f>
        <v>2969.457</v>
      </c>
      <c r="H611" s="272">
        <f>2969.457</f>
        <v>2969.457</v>
      </c>
      <c r="I611" s="272"/>
      <c r="J611" s="510"/>
    </row>
    <row r="612" spans="1:9" ht="30">
      <c r="A612" s="35" t="s">
        <v>187</v>
      </c>
      <c r="B612" s="43" t="s">
        <v>412</v>
      </c>
      <c r="C612" s="66" t="s">
        <v>392</v>
      </c>
      <c r="D612" s="66" t="s">
        <v>377</v>
      </c>
      <c r="E612" s="66" t="s">
        <v>67</v>
      </c>
      <c r="F612" s="66" t="s">
        <v>155</v>
      </c>
      <c r="G612" s="188">
        <f>H612</f>
        <v>90</v>
      </c>
      <c r="H612" s="188">
        <f>H613</f>
        <v>90</v>
      </c>
      <c r="I612" s="272"/>
    </row>
    <row r="613" spans="1:9" ht="45">
      <c r="A613" s="84" t="s">
        <v>188</v>
      </c>
      <c r="B613" s="43" t="s">
        <v>412</v>
      </c>
      <c r="C613" s="66" t="s">
        <v>392</v>
      </c>
      <c r="D613" s="66" t="s">
        <v>377</v>
      </c>
      <c r="E613" s="66" t="s">
        <v>67</v>
      </c>
      <c r="F613" s="66" t="s">
        <v>189</v>
      </c>
      <c r="G613" s="188">
        <f>H613</f>
        <v>90</v>
      </c>
      <c r="H613" s="188">
        <v>90</v>
      </c>
      <c r="I613" s="272"/>
    </row>
    <row r="614" spans="1:9" ht="60">
      <c r="A614" s="110" t="s">
        <v>475</v>
      </c>
      <c r="B614" s="473" t="s">
        <v>412</v>
      </c>
      <c r="C614" s="115" t="s">
        <v>392</v>
      </c>
      <c r="D614" s="115" t="s">
        <v>377</v>
      </c>
      <c r="E614" s="115" t="s">
        <v>69</v>
      </c>
      <c r="F614" s="115" t="s">
        <v>409</v>
      </c>
      <c r="G614" s="218">
        <f aca="true" t="shared" si="37" ref="G614:G626">H614+I614</f>
        <v>598</v>
      </c>
      <c r="H614" s="218">
        <f>H615+H618</f>
        <v>598</v>
      </c>
      <c r="I614" s="312">
        <f>I615+I618</f>
        <v>0</v>
      </c>
    </row>
    <row r="615" spans="1:9" ht="15">
      <c r="A615" s="35" t="s">
        <v>401</v>
      </c>
      <c r="B615" s="179" t="s">
        <v>412</v>
      </c>
      <c r="C615" s="66" t="s">
        <v>392</v>
      </c>
      <c r="D615" s="66" t="s">
        <v>377</v>
      </c>
      <c r="E615" s="66" t="s">
        <v>70</v>
      </c>
      <c r="F615" s="66" t="s">
        <v>409</v>
      </c>
      <c r="G615" s="188">
        <f t="shared" si="37"/>
        <v>380</v>
      </c>
      <c r="H615" s="275">
        <f>H616</f>
        <v>380</v>
      </c>
      <c r="I615" s="275">
        <f>I616</f>
        <v>0</v>
      </c>
    </row>
    <row r="616" spans="1:9" ht="30">
      <c r="A616" s="35" t="s">
        <v>187</v>
      </c>
      <c r="B616" s="179" t="s">
        <v>412</v>
      </c>
      <c r="C616" s="66" t="s">
        <v>392</v>
      </c>
      <c r="D616" s="66" t="s">
        <v>377</v>
      </c>
      <c r="E616" s="66" t="s">
        <v>70</v>
      </c>
      <c r="F616" s="66" t="s">
        <v>155</v>
      </c>
      <c r="G616" s="188">
        <f t="shared" si="37"/>
        <v>380</v>
      </c>
      <c r="H616" s="275">
        <f>H617</f>
        <v>380</v>
      </c>
      <c r="I616" s="275">
        <f>I617</f>
        <v>0</v>
      </c>
    </row>
    <row r="617" spans="1:9" ht="45">
      <c r="A617" s="84" t="s">
        <v>188</v>
      </c>
      <c r="B617" s="179" t="s">
        <v>412</v>
      </c>
      <c r="C617" s="66" t="s">
        <v>392</v>
      </c>
      <c r="D617" s="66" t="s">
        <v>377</v>
      </c>
      <c r="E617" s="66" t="s">
        <v>71</v>
      </c>
      <c r="F617" s="66" t="s">
        <v>189</v>
      </c>
      <c r="G617" s="188">
        <f t="shared" si="37"/>
        <v>380</v>
      </c>
      <c r="H617" s="275">
        <f>380</f>
        <v>380</v>
      </c>
      <c r="I617" s="275"/>
    </row>
    <row r="618" spans="1:9" ht="45">
      <c r="A618" s="35" t="s">
        <v>210</v>
      </c>
      <c r="B618" s="179" t="s">
        <v>412</v>
      </c>
      <c r="C618" s="66" t="s">
        <v>392</v>
      </c>
      <c r="D618" s="66" t="s">
        <v>377</v>
      </c>
      <c r="E618" s="66" t="s">
        <v>70</v>
      </c>
      <c r="F618" s="66" t="s">
        <v>211</v>
      </c>
      <c r="G618" s="188">
        <f t="shared" si="37"/>
        <v>218</v>
      </c>
      <c r="H618" s="275">
        <f>H619</f>
        <v>218</v>
      </c>
      <c r="I618" s="275">
        <f>I619</f>
        <v>0</v>
      </c>
    </row>
    <row r="619" spans="1:9" ht="30">
      <c r="A619" s="35" t="s">
        <v>131</v>
      </c>
      <c r="B619" s="179" t="s">
        <v>412</v>
      </c>
      <c r="C619" s="66" t="s">
        <v>392</v>
      </c>
      <c r="D619" s="66" t="s">
        <v>377</v>
      </c>
      <c r="E619" s="66" t="s">
        <v>72</v>
      </c>
      <c r="F619" s="66" t="s">
        <v>287</v>
      </c>
      <c r="G619" s="188">
        <f t="shared" si="37"/>
        <v>218</v>
      </c>
      <c r="H619" s="275">
        <f>218</f>
        <v>218</v>
      </c>
      <c r="I619" s="275"/>
    </row>
    <row r="620" spans="1:9" ht="45" customHeight="1">
      <c r="A620" s="110" t="s">
        <v>476</v>
      </c>
      <c r="B620" s="473" t="s">
        <v>412</v>
      </c>
      <c r="C620" s="115" t="s">
        <v>392</v>
      </c>
      <c r="D620" s="115" t="s">
        <v>377</v>
      </c>
      <c r="E620" s="115" t="s">
        <v>36</v>
      </c>
      <c r="F620" s="115" t="s">
        <v>409</v>
      </c>
      <c r="G620" s="218">
        <f t="shared" si="37"/>
        <v>2011.5</v>
      </c>
      <c r="H620" s="312">
        <f>H621</f>
        <v>2011.5</v>
      </c>
      <c r="I620" s="312">
        <f aca="true" t="shared" si="38" ref="H620:I622">I621</f>
        <v>0</v>
      </c>
    </row>
    <row r="621" spans="1:9" ht="15">
      <c r="A621" s="35" t="s">
        <v>401</v>
      </c>
      <c r="B621" s="179" t="s">
        <v>412</v>
      </c>
      <c r="C621" s="66" t="s">
        <v>392</v>
      </c>
      <c r="D621" s="66" t="s">
        <v>377</v>
      </c>
      <c r="E621" s="66" t="s">
        <v>37</v>
      </c>
      <c r="F621" s="66" t="s">
        <v>409</v>
      </c>
      <c r="G621" s="188">
        <f t="shared" si="37"/>
        <v>2011.5</v>
      </c>
      <c r="H621" s="275">
        <f>H622+H627</f>
        <v>2011.5</v>
      </c>
      <c r="I621" s="275">
        <f>I622</f>
        <v>0</v>
      </c>
    </row>
    <row r="622" spans="1:9" ht="30">
      <c r="A622" s="35" t="s">
        <v>187</v>
      </c>
      <c r="B622" s="179" t="s">
        <v>412</v>
      </c>
      <c r="C622" s="66" t="s">
        <v>392</v>
      </c>
      <c r="D622" s="66" t="s">
        <v>377</v>
      </c>
      <c r="E622" s="66" t="s">
        <v>73</v>
      </c>
      <c r="F622" s="66" t="s">
        <v>155</v>
      </c>
      <c r="G622" s="188">
        <f t="shared" si="37"/>
        <v>4</v>
      </c>
      <c r="H622" s="188">
        <f t="shared" si="38"/>
        <v>4</v>
      </c>
      <c r="I622" s="188">
        <f t="shared" si="38"/>
        <v>0</v>
      </c>
    </row>
    <row r="623" spans="1:9" ht="45">
      <c r="A623" s="84" t="s">
        <v>188</v>
      </c>
      <c r="B623" s="179" t="s">
        <v>412</v>
      </c>
      <c r="C623" s="66" t="s">
        <v>392</v>
      </c>
      <c r="D623" s="66" t="s">
        <v>377</v>
      </c>
      <c r="E623" s="66" t="s">
        <v>73</v>
      </c>
      <c r="F623" s="66" t="s">
        <v>189</v>
      </c>
      <c r="G623" s="188">
        <f t="shared" si="37"/>
        <v>4</v>
      </c>
      <c r="H623" s="188">
        <f>134-130</f>
        <v>4</v>
      </c>
      <c r="I623" s="188"/>
    </row>
    <row r="624" spans="1:9" ht="45" customHeight="1" hidden="1">
      <c r="A624" s="110" t="s">
        <v>285</v>
      </c>
      <c r="B624" s="179" t="s">
        <v>412</v>
      </c>
      <c r="C624" s="66" t="s">
        <v>392</v>
      </c>
      <c r="D624" s="66" t="s">
        <v>377</v>
      </c>
      <c r="E624" s="66" t="s">
        <v>73</v>
      </c>
      <c r="F624" s="115" t="s">
        <v>409</v>
      </c>
      <c r="G624" s="218">
        <f t="shared" si="37"/>
        <v>0</v>
      </c>
      <c r="H624" s="218">
        <f>H625</f>
        <v>0</v>
      </c>
      <c r="I624" s="218"/>
    </row>
    <row r="625" spans="1:9" ht="30" hidden="1">
      <c r="A625" s="35" t="s">
        <v>187</v>
      </c>
      <c r="B625" s="179" t="s">
        <v>412</v>
      </c>
      <c r="C625" s="66" t="s">
        <v>392</v>
      </c>
      <c r="D625" s="66" t="s">
        <v>377</v>
      </c>
      <c r="E625" s="66" t="s">
        <v>73</v>
      </c>
      <c r="F625" s="46" t="s">
        <v>155</v>
      </c>
      <c r="G625" s="275">
        <f t="shared" si="37"/>
        <v>0</v>
      </c>
      <c r="H625" s="275">
        <f>H626</f>
        <v>0</v>
      </c>
      <c r="I625" s="188"/>
    </row>
    <row r="626" spans="1:9" ht="45" hidden="1">
      <c r="A626" s="84" t="s">
        <v>188</v>
      </c>
      <c r="B626" s="179" t="s">
        <v>412</v>
      </c>
      <c r="C626" s="66" t="s">
        <v>392</v>
      </c>
      <c r="D626" s="66" t="s">
        <v>377</v>
      </c>
      <c r="E626" s="66" t="s">
        <v>73</v>
      </c>
      <c r="F626" s="46" t="s">
        <v>189</v>
      </c>
      <c r="G626" s="275">
        <f t="shared" si="37"/>
        <v>0</v>
      </c>
      <c r="H626" s="275"/>
      <c r="I626" s="188"/>
    </row>
    <row r="627" spans="1:9" ht="45">
      <c r="A627" s="35" t="s">
        <v>210</v>
      </c>
      <c r="B627" s="179" t="s">
        <v>412</v>
      </c>
      <c r="C627" s="66" t="s">
        <v>392</v>
      </c>
      <c r="D627" s="66" t="s">
        <v>377</v>
      </c>
      <c r="E627" s="66" t="s">
        <v>73</v>
      </c>
      <c r="F627" s="46" t="s">
        <v>211</v>
      </c>
      <c r="G627" s="275">
        <f>H627</f>
        <v>2007.5</v>
      </c>
      <c r="H627" s="275">
        <f>H628</f>
        <v>2007.5</v>
      </c>
      <c r="I627" s="188"/>
    </row>
    <row r="628" spans="1:9" ht="15">
      <c r="A628" s="35" t="s">
        <v>212</v>
      </c>
      <c r="B628" s="179" t="s">
        <v>412</v>
      </c>
      <c r="C628" s="66" t="s">
        <v>392</v>
      </c>
      <c r="D628" s="66" t="s">
        <v>377</v>
      </c>
      <c r="E628" s="66" t="s">
        <v>73</v>
      </c>
      <c r="F628" s="46" t="s">
        <v>287</v>
      </c>
      <c r="G628" s="275">
        <f>H628</f>
        <v>2007.5</v>
      </c>
      <c r="H628" s="275">
        <f>2000+120-112.5</f>
        <v>2007.5</v>
      </c>
      <c r="I628" s="188"/>
    </row>
    <row r="629" spans="1:9" ht="70.5" customHeight="1">
      <c r="A629" s="111" t="s">
        <v>529</v>
      </c>
      <c r="B629" s="175" t="s">
        <v>412</v>
      </c>
      <c r="C629" s="115" t="s">
        <v>392</v>
      </c>
      <c r="D629" s="115" t="s">
        <v>377</v>
      </c>
      <c r="E629" s="115" t="s">
        <v>320</v>
      </c>
      <c r="F629" s="115" t="s">
        <v>409</v>
      </c>
      <c r="G629" s="218">
        <f>H629+I629</f>
        <v>1103.2</v>
      </c>
      <c r="H629" s="218">
        <f>H630+H632</f>
        <v>1103.2</v>
      </c>
      <c r="I629" s="218"/>
    </row>
    <row r="630" spans="1:9" ht="34.5" customHeight="1">
      <c r="A630" s="35" t="s">
        <v>187</v>
      </c>
      <c r="B630" s="43" t="s">
        <v>412</v>
      </c>
      <c r="C630" s="66" t="s">
        <v>392</v>
      </c>
      <c r="D630" s="66" t="s">
        <v>377</v>
      </c>
      <c r="E630" s="66" t="s">
        <v>892</v>
      </c>
      <c r="F630" s="66" t="s">
        <v>155</v>
      </c>
      <c r="G630" s="188">
        <f>H630</f>
        <v>158</v>
      </c>
      <c r="H630" s="188">
        <f>H631</f>
        <v>158</v>
      </c>
      <c r="I630" s="188"/>
    </row>
    <row r="631" spans="1:9" ht="45.75" customHeight="1">
      <c r="A631" s="84" t="s">
        <v>188</v>
      </c>
      <c r="B631" s="43" t="s">
        <v>412</v>
      </c>
      <c r="C631" s="66" t="s">
        <v>392</v>
      </c>
      <c r="D631" s="66" t="s">
        <v>377</v>
      </c>
      <c r="E631" s="66" t="s">
        <v>892</v>
      </c>
      <c r="F631" s="66" t="s">
        <v>189</v>
      </c>
      <c r="G631" s="188">
        <f>H631</f>
        <v>158</v>
      </c>
      <c r="H631" s="188">
        <v>158</v>
      </c>
      <c r="I631" s="188"/>
    </row>
    <row r="632" spans="1:9" ht="42" customHeight="1">
      <c r="A632" s="35" t="s">
        <v>210</v>
      </c>
      <c r="B632" s="179" t="s">
        <v>412</v>
      </c>
      <c r="C632" s="46" t="s">
        <v>392</v>
      </c>
      <c r="D632" s="46" t="s">
        <v>377</v>
      </c>
      <c r="E632" s="66" t="s">
        <v>528</v>
      </c>
      <c r="F632" s="66" t="s">
        <v>211</v>
      </c>
      <c r="G632" s="275">
        <f>H632+I632</f>
        <v>945.2</v>
      </c>
      <c r="H632" s="275">
        <f>H633</f>
        <v>945.2</v>
      </c>
      <c r="I632" s="188"/>
    </row>
    <row r="633" spans="1:9" ht="28.5" customHeight="1">
      <c r="A633" s="35" t="s">
        <v>131</v>
      </c>
      <c r="B633" s="179" t="s">
        <v>412</v>
      </c>
      <c r="C633" s="46" t="s">
        <v>392</v>
      </c>
      <c r="D633" s="46" t="s">
        <v>377</v>
      </c>
      <c r="E633" s="66" t="s">
        <v>528</v>
      </c>
      <c r="F633" s="66" t="s">
        <v>287</v>
      </c>
      <c r="G633" s="275">
        <f>H633+I633</f>
        <v>945.2</v>
      </c>
      <c r="H633" s="275">
        <f>1215-61.8-50-158</f>
        <v>945.2</v>
      </c>
      <c r="I633" s="188"/>
    </row>
    <row r="634" spans="1:9" ht="28.5" customHeight="1">
      <c r="A634" s="244" t="s">
        <v>149</v>
      </c>
      <c r="B634" s="179" t="s">
        <v>412</v>
      </c>
      <c r="C634" s="46" t="s">
        <v>392</v>
      </c>
      <c r="D634" s="46" t="s">
        <v>377</v>
      </c>
      <c r="E634" s="46" t="s">
        <v>10</v>
      </c>
      <c r="F634" s="46" t="s">
        <v>409</v>
      </c>
      <c r="G634" s="275">
        <f>H634</f>
        <v>287.5</v>
      </c>
      <c r="H634" s="275">
        <f>H635</f>
        <v>287.5</v>
      </c>
      <c r="I634" s="275"/>
    </row>
    <row r="635" spans="1:9" ht="42" customHeight="1">
      <c r="A635" s="178" t="s">
        <v>150</v>
      </c>
      <c r="B635" s="179" t="s">
        <v>412</v>
      </c>
      <c r="C635" s="46" t="s">
        <v>392</v>
      </c>
      <c r="D635" s="46" t="s">
        <v>377</v>
      </c>
      <c r="E635" s="46" t="s">
        <v>11</v>
      </c>
      <c r="F635" s="46" t="s">
        <v>409</v>
      </c>
      <c r="G635" s="275">
        <f>H635</f>
        <v>287.5</v>
      </c>
      <c r="H635" s="275">
        <f>H636</f>
        <v>287.5</v>
      </c>
      <c r="I635" s="275"/>
    </row>
    <row r="636" spans="1:9" ht="15.75" customHeight="1">
      <c r="A636" s="180" t="s">
        <v>889</v>
      </c>
      <c r="B636" s="179" t="s">
        <v>412</v>
      </c>
      <c r="C636" s="46" t="s">
        <v>392</v>
      </c>
      <c r="D636" s="46" t="s">
        <v>377</v>
      </c>
      <c r="E636" s="46" t="s">
        <v>890</v>
      </c>
      <c r="F636" s="46" t="s">
        <v>409</v>
      </c>
      <c r="G636" s="275">
        <f>H636</f>
        <v>287.5</v>
      </c>
      <c r="H636" s="275">
        <f>H637</f>
        <v>287.5</v>
      </c>
      <c r="I636" s="275"/>
    </row>
    <row r="637" spans="1:9" ht="28.5" customHeight="1">
      <c r="A637" s="178" t="s">
        <v>187</v>
      </c>
      <c r="B637" s="179" t="s">
        <v>412</v>
      </c>
      <c r="C637" s="46" t="s">
        <v>392</v>
      </c>
      <c r="D637" s="46" t="s">
        <v>377</v>
      </c>
      <c r="E637" s="46" t="s">
        <v>890</v>
      </c>
      <c r="F637" s="46" t="s">
        <v>155</v>
      </c>
      <c r="G637" s="275">
        <f>H637</f>
        <v>287.5</v>
      </c>
      <c r="H637" s="275">
        <f>H638</f>
        <v>287.5</v>
      </c>
      <c r="I637" s="275"/>
    </row>
    <row r="638" spans="1:9" ht="28.5" customHeight="1">
      <c r="A638" s="180" t="s">
        <v>188</v>
      </c>
      <c r="B638" s="179" t="s">
        <v>412</v>
      </c>
      <c r="C638" s="46" t="s">
        <v>392</v>
      </c>
      <c r="D638" s="46" t="s">
        <v>377</v>
      </c>
      <c r="E638" s="46" t="s">
        <v>890</v>
      </c>
      <c r="F638" s="46" t="s">
        <v>189</v>
      </c>
      <c r="G638" s="275">
        <f>H638</f>
        <v>287.5</v>
      </c>
      <c r="H638" s="275">
        <v>287.5</v>
      </c>
      <c r="I638" s="275"/>
    </row>
    <row r="639" spans="1:9" ht="14.25">
      <c r="A639" s="239" t="s">
        <v>228</v>
      </c>
      <c r="B639" s="456" t="s">
        <v>412</v>
      </c>
      <c r="C639" s="465" t="s">
        <v>229</v>
      </c>
      <c r="D639" s="465" t="s">
        <v>147</v>
      </c>
      <c r="E639" s="465" t="s">
        <v>320</v>
      </c>
      <c r="F639" s="465" t="s">
        <v>409</v>
      </c>
      <c r="G639" s="306">
        <f>H639+I639</f>
        <v>8495.259</v>
      </c>
      <c r="H639" s="249">
        <f>H644</f>
        <v>0</v>
      </c>
      <c r="I639" s="249">
        <f>I640+I644+I652</f>
        <v>8495.259</v>
      </c>
    </row>
    <row r="640" spans="1:9" ht="15">
      <c r="A640" s="176" t="s">
        <v>597</v>
      </c>
      <c r="B640" s="200" t="s">
        <v>412</v>
      </c>
      <c r="C640" s="174" t="s">
        <v>229</v>
      </c>
      <c r="D640" s="174" t="s">
        <v>153</v>
      </c>
      <c r="E640" s="174" t="s">
        <v>320</v>
      </c>
      <c r="F640" s="174" t="s">
        <v>409</v>
      </c>
      <c r="G640" s="217">
        <f>H640+I640</f>
        <v>2160</v>
      </c>
      <c r="H640" s="316">
        <f aca="true" t="shared" si="39" ref="H640:I642">H641</f>
        <v>0</v>
      </c>
      <c r="I640" s="316">
        <f>I641</f>
        <v>2160</v>
      </c>
    </row>
    <row r="641" spans="1:9" ht="90">
      <c r="A641" s="110" t="s">
        <v>598</v>
      </c>
      <c r="B641" s="43" t="s">
        <v>412</v>
      </c>
      <c r="C641" s="66" t="s">
        <v>229</v>
      </c>
      <c r="D641" s="66" t="s">
        <v>153</v>
      </c>
      <c r="E641" s="115" t="s">
        <v>47</v>
      </c>
      <c r="F641" s="115" t="s">
        <v>409</v>
      </c>
      <c r="G641" s="218">
        <f>I641</f>
        <v>2160</v>
      </c>
      <c r="H641" s="218">
        <f t="shared" si="39"/>
        <v>0</v>
      </c>
      <c r="I641" s="218">
        <f t="shared" si="39"/>
        <v>2160</v>
      </c>
    </row>
    <row r="642" spans="1:9" ht="30">
      <c r="A642" s="42" t="s">
        <v>201</v>
      </c>
      <c r="B642" s="43" t="s">
        <v>412</v>
      </c>
      <c r="C642" s="66" t="s">
        <v>229</v>
      </c>
      <c r="D642" s="66" t="s">
        <v>153</v>
      </c>
      <c r="E642" s="66" t="s">
        <v>917</v>
      </c>
      <c r="F642" s="66" t="s">
        <v>156</v>
      </c>
      <c r="G642" s="188">
        <f>I642</f>
        <v>2160</v>
      </c>
      <c r="H642" s="188">
        <f t="shared" si="39"/>
        <v>0</v>
      </c>
      <c r="I642" s="188">
        <f t="shared" si="39"/>
        <v>2160</v>
      </c>
    </row>
    <row r="643" spans="1:9" ht="30">
      <c r="A643" s="35" t="s">
        <v>204</v>
      </c>
      <c r="B643" s="43" t="s">
        <v>412</v>
      </c>
      <c r="C643" s="66" t="s">
        <v>229</v>
      </c>
      <c r="D643" s="66" t="s">
        <v>153</v>
      </c>
      <c r="E643" s="66" t="s">
        <v>917</v>
      </c>
      <c r="F643" s="66" t="s">
        <v>205</v>
      </c>
      <c r="G643" s="188">
        <f>I643</f>
        <v>2160</v>
      </c>
      <c r="H643" s="188"/>
      <c r="I643" s="188">
        <v>2160</v>
      </c>
    </row>
    <row r="644" spans="1:10" ht="15">
      <c r="A644" s="176" t="s">
        <v>402</v>
      </c>
      <c r="B644" s="200" t="s">
        <v>412</v>
      </c>
      <c r="C644" s="174" t="s">
        <v>229</v>
      </c>
      <c r="D644" s="174" t="s">
        <v>157</v>
      </c>
      <c r="E644" s="174" t="s">
        <v>320</v>
      </c>
      <c r="F644" s="174" t="s">
        <v>409</v>
      </c>
      <c r="G644" s="201">
        <f aca="true" t="shared" si="40" ref="G644:G656">H644+I644</f>
        <v>6035.259</v>
      </c>
      <c r="H644" s="201">
        <f>H645</f>
        <v>0</v>
      </c>
      <c r="I644" s="201">
        <f>I647</f>
        <v>6035.259</v>
      </c>
      <c r="J644" s="554"/>
    </row>
    <row r="645" spans="1:9" ht="45">
      <c r="A645" s="110" t="s">
        <v>473</v>
      </c>
      <c r="B645" s="473" t="s">
        <v>412</v>
      </c>
      <c r="C645" s="115" t="s">
        <v>229</v>
      </c>
      <c r="D645" s="115" t="s">
        <v>147</v>
      </c>
      <c r="E645" s="115" t="s">
        <v>29</v>
      </c>
      <c r="F645" s="115" t="s">
        <v>409</v>
      </c>
      <c r="G645" s="188">
        <f t="shared" si="40"/>
        <v>6035.259</v>
      </c>
      <c r="H645" s="275">
        <f>H646</f>
        <v>0</v>
      </c>
      <c r="I645" s="275">
        <f>I646</f>
        <v>6035.259</v>
      </c>
    </row>
    <row r="646" spans="1:9" ht="45">
      <c r="A646" s="183" t="s">
        <v>258</v>
      </c>
      <c r="B646" s="179" t="s">
        <v>412</v>
      </c>
      <c r="C646" s="66" t="s">
        <v>229</v>
      </c>
      <c r="D646" s="66" t="s">
        <v>157</v>
      </c>
      <c r="E646" s="66" t="s">
        <v>42</v>
      </c>
      <c r="F646" s="66" t="s">
        <v>409</v>
      </c>
      <c r="G646" s="188">
        <f t="shared" si="40"/>
        <v>6035.259</v>
      </c>
      <c r="H646" s="275">
        <f>H647</f>
        <v>0</v>
      </c>
      <c r="I646" s="275">
        <f>I647</f>
        <v>6035.259</v>
      </c>
    </row>
    <row r="647" spans="1:9" ht="75">
      <c r="A647" s="229" t="s">
        <v>231</v>
      </c>
      <c r="B647" s="459" t="s">
        <v>412</v>
      </c>
      <c r="C647" s="230" t="s">
        <v>229</v>
      </c>
      <c r="D647" s="230" t="s">
        <v>157</v>
      </c>
      <c r="E647" s="230" t="s">
        <v>88</v>
      </c>
      <c r="F647" s="230" t="s">
        <v>409</v>
      </c>
      <c r="G647" s="243">
        <f t="shared" si="40"/>
        <v>6035.259</v>
      </c>
      <c r="H647" s="243">
        <f>H649</f>
        <v>0</v>
      </c>
      <c r="I647" s="243">
        <f>I648+I649</f>
        <v>6035.259</v>
      </c>
    </row>
    <row r="648" spans="1:9" ht="45">
      <c r="A648" s="84" t="s">
        <v>188</v>
      </c>
      <c r="B648" s="43" t="s">
        <v>412</v>
      </c>
      <c r="C648" s="82" t="s">
        <v>229</v>
      </c>
      <c r="D648" s="82" t="s">
        <v>157</v>
      </c>
      <c r="E648" s="66" t="s">
        <v>88</v>
      </c>
      <c r="F648" s="82" t="s">
        <v>189</v>
      </c>
      <c r="G648" s="188">
        <f t="shared" si="40"/>
        <v>90.529</v>
      </c>
      <c r="H648" s="188"/>
      <c r="I648" s="188">
        <v>90.529</v>
      </c>
    </row>
    <row r="649" spans="1:9" ht="30">
      <c r="A649" s="104" t="s">
        <v>202</v>
      </c>
      <c r="B649" s="43" t="s">
        <v>412</v>
      </c>
      <c r="C649" s="66" t="s">
        <v>229</v>
      </c>
      <c r="D649" s="66" t="s">
        <v>157</v>
      </c>
      <c r="E649" s="66" t="s">
        <v>88</v>
      </c>
      <c r="F649" s="15">
        <v>310</v>
      </c>
      <c r="G649" s="188">
        <f t="shared" si="40"/>
        <v>5944.73</v>
      </c>
      <c r="H649" s="188"/>
      <c r="I649" s="188">
        <v>5944.73</v>
      </c>
    </row>
    <row r="650" spans="1:9" ht="45">
      <c r="A650" s="110" t="s">
        <v>474</v>
      </c>
      <c r="B650" s="43" t="s">
        <v>412</v>
      </c>
      <c r="C650" s="66" t="s">
        <v>229</v>
      </c>
      <c r="D650" s="66" t="s">
        <v>157</v>
      </c>
      <c r="E650" s="115" t="s">
        <v>29</v>
      </c>
      <c r="F650" s="115" t="s">
        <v>409</v>
      </c>
      <c r="G650" s="188">
        <f t="shared" si="40"/>
        <v>300</v>
      </c>
      <c r="H650" s="188"/>
      <c r="I650" s="188">
        <f>I651</f>
        <v>300</v>
      </c>
    </row>
    <row r="651" spans="1:9" ht="30">
      <c r="A651" s="183" t="s">
        <v>462</v>
      </c>
      <c r="B651" s="43" t="s">
        <v>412</v>
      </c>
      <c r="C651" s="82" t="s">
        <v>229</v>
      </c>
      <c r="D651" s="82" t="s">
        <v>157</v>
      </c>
      <c r="E651" s="66" t="s">
        <v>64</v>
      </c>
      <c r="F651" s="66" t="s">
        <v>409</v>
      </c>
      <c r="G651" s="188">
        <f t="shared" si="40"/>
        <v>300</v>
      </c>
      <c r="H651" s="188"/>
      <c r="I651" s="188">
        <f>I652</f>
        <v>300</v>
      </c>
    </row>
    <row r="652" spans="1:9" ht="71.25">
      <c r="A652" s="252" t="s">
        <v>739</v>
      </c>
      <c r="B652" s="455" t="s">
        <v>412</v>
      </c>
      <c r="C652" s="484" t="s">
        <v>229</v>
      </c>
      <c r="D652" s="484" t="s">
        <v>157</v>
      </c>
      <c r="E652" s="484" t="s">
        <v>64</v>
      </c>
      <c r="F652" s="484" t="s">
        <v>409</v>
      </c>
      <c r="G652" s="224">
        <f t="shared" si="40"/>
        <v>300</v>
      </c>
      <c r="H652" s="313"/>
      <c r="I652" s="313">
        <f>I653+I670</f>
        <v>300</v>
      </c>
    </row>
    <row r="653" spans="1:9" ht="30">
      <c r="A653" s="84" t="s">
        <v>201</v>
      </c>
      <c r="B653" s="179" t="s">
        <v>412</v>
      </c>
      <c r="C653" s="82" t="s">
        <v>229</v>
      </c>
      <c r="D653" s="82" t="s">
        <v>157</v>
      </c>
      <c r="E653" s="66" t="s">
        <v>65</v>
      </c>
      <c r="F653" s="82" t="s">
        <v>156</v>
      </c>
      <c r="G653" s="188">
        <f t="shared" si="40"/>
        <v>300</v>
      </c>
      <c r="H653" s="275"/>
      <c r="I653" s="275">
        <f>I654</f>
        <v>300</v>
      </c>
    </row>
    <row r="654" spans="1:9" ht="33" customHeight="1">
      <c r="A654" s="84" t="s">
        <v>202</v>
      </c>
      <c r="B654" s="43" t="s">
        <v>412</v>
      </c>
      <c r="C654" s="82" t="s">
        <v>229</v>
      </c>
      <c r="D654" s="82" t="s">
        <v>157</v>
      </c>
      <c r="E654" s="66" t="s">
        <v>65</v>
      </c>
      <c r="F654" s="82" t="s">
        <v>203</v>
      </c>
      <c r="G654" s="188">
        <f t="shared" si="40"/>
        <v>300</v>
      </c>
      <c r="H654" s="188"/>
      <c r="I654" s="188">
        <v>300</v>
      </c>
    </row>
    <row r="655" spans="1:9" ht="17.25" customHeight="1" hidden="1">
      <c r="A655" s="239" t="s">
        <v>232</v>
      </c>
      <c r="B655" s="485" t="s">
        <v>412</v>
      </c>
      <c r="C655" s="465" t="s">
        <v>164</v>
      </c>
      <c r="D655" s="465" t="s">
        <v>147</v>
      </c>
      <c r="E655" s="465" t="s">
        <v>320</v>
      </c>
      <c r="F655" s="465" t="s">
        <v>409</v>
      </c>
      <c r="G655" s="320">
        <f t="shared" si="40"/>
        <v>0</v>
      </c>
      <c r="H655" s="320">
        <f>H656+H663</f>
        <v>0</v>
      </c>
      <c r="I655" s="320">
        <f>I656+I663</f>
        <v>0</v>
      </c>
    </row>
    <row r="656" spans="1:9" ht="30.75" customHeight="1" hidden="1">
      <c r="A656" s="181" t="s">
        <v>720</v>
      </c>
      <c r="B656" s="43" t="s">
        <v>412</v>
      </c>
      <c r="C656" s="182" t="s">
        <v>164</v>
      </c>
      <c r="D656" s="182" t="s">
        <v>148</v>
      </c>
      <c r="E656" s="182" t="s">
        <v>89</v>
      </c>
      <c r="F656" s="182" t="s">
        <v>409</v>
      </c>
      <c r="G656" s="217">
        <f t="shared" si="40"/>
        <v>0</v>
      </c>
      <c r="H656" s="217">
        <f>H660</f>
        <v>0</v>
      </c>
      <c r="I656" s="217">
        <f>I657</f>
        <v>0</v>
      </c>
    </row>
    <row r="657" spans="1:9" ht="56.25" customHeight="1" hidden="1">
      <c r="A657" s="111" t="s">
        <v>726</v>
      </c>
      <c r="B657" s="43" t="s">
        <v>412</v>
      </c>
      <c r="C657" s="115" t="s">
        <v>164</v>
      </c>
      <c r="D657" s="115" t="s">
        <v>148</v>
      </c>
      <c r="E657" s="66" t="s">
        <v>723</v>
      </c>
      <c r="F657" s="66" t="s">
        <v>409</v>
      </c>
      <c r="G657" s="218">
        <f>I657</f>
        <v>0</v>
      </c>
      <c r="H657" s="218"/>
      <c r="I657" s="218">
        <f>I658</f>
        <v>0</v>
      </c>
    </row>
    <row r="658" spans="1:9" ht="42.75" customHeight="1" hidden="1">
      <c r="A658" s="35" t="s">
        <v>605</v>
      </c>
      <c r="B658" s="43" t="s">
        <v>412</v>
      </c>
      <c r="C658" s="66" t="s">
        <v>164</v>
      </c>
      <c r="D658" s="66" t="s">
        <v>148</v>
      </c>
      <c r="E658" s="66" t="s">
        <v>723</v>
      </c>
      <c r="F658" s="66" t="s">
        <v>211</v>
      </c>
      <c r="G658" s="188">
        <f>I658</f>
        <v>0</v>
      </c>
      <c r="H658" s="188"/>
      <c r="I658" s="188">
        <f>I659</f>
        <v>0</v>
      </c>
    </row>
    <row r="659" spans="1:9" ht="18" customHeight="1" hidden="1">
      <c r="A659" s="35" t="s">
        <v>175</v>
      </c>
      <c r="B659" s="43" t="s">
        <v>412</v>
      </c>
      <c r="C659" s="66" t="s">
        <v>164</v>
      </c>
      <c r="D659" s="66" t="s">
        <v>148</v>
      </c>
      <c r="E659" s="66" t="s">
        <v>723</v>
      </c>
      <c r="F659" s="66" t="s">
        <v>287</v>
      </c>
      <c r="G659" s="188">
        <f>I659</f>
        <v>0</v>
      </c>
      <c r="H659" s="188"/>
      <c r="I659" s="188">
        <v>0</v>
      </c>
    </row>
    <row r="660" spans="1:9" ht="69.75" customHeight="1" hidden="1">
      <c r="A660" s="111" t="s">
        <v>727</v>
      </c>
      <c r="B660" s="43" t="s">
        <v>412</v>
      </c>
      <c r="C660" s="115" t="s">
        <v>164</v>
      </c>
      <c r="D660" s="115" t="s">
        <v>148</v>
      </c>
      <c r="E660" s="66" t="s">
        <v>724</v>
      </c>
      <c r="F660" s="66" t="s">
        <v>409</v>
      </c>
      <c r="G660" s="218">
        <f>H660</f>
        <v>0</v>
      </c>
      <c r="H660" s="218">
        <f>H661</f>
        <v>0</v>
      </c>
      <c r="I660" s="218"/>
    </row>
    <row r="661" spans="1:9" ht="43.5" customHeight="1" hidden="1">
      <c r="A661" s="35" t="s">
        <v>605</v>
      </c>
      <c r="B661" s="43" t="s">
        <v>412</v>
      </c>
      <c r="C661" s="66" t="s">
        <v>164</v>
      </c>
      <c r="D661" s="66" t="s">
        <v>148</v>
      </c>
      <c r="E661" s="66" t="s">
        <v>724</v>
      </c>
      <c r="F661" s="66" t="s">
        <v>211</v>
      </c>
      <c r="G661" s="188">
        <f>H661</f>
        <v>0</v>
      </c>
      <c r="H661" s="188">
        <f>H662</f>
        <v>0</v>
      </c>
      <c r="I661" s="188"/>
    </row>
    <row r="662" spans="1:9" ht="16.5" customHeight="1" hidden="1">
      <c r="A662" s="35" t="s">
        <v>175</v>
      </c>
      <c r="B662" s="43" t="s">
        <v>412</v>
      </c>
      <c r="C662" s="66" t="s">
        <v>164</v>
      </c>
      <c r="D662" s="66" t="s">
        <v>148</v>
      </c>
      <c r="E662" s="66" t="s">
        <v>724</v>
      </c>
      <c r="F662" s="66" t="s">
        <v>287</v>
      </c>
      <c r="G662" s="188">
        <f>H662</f>
        <v>0</v>
      </c>
      <c r="H662" s="188">
        <v>0</v>
      </c>
      <c r="I662" s="188"/>
    </row>
    <row r="663" spans="1:9" ht="44.25" customHeight="1" hidden="1">
      <c r="A663" s="184" t="s">
        <v>603</v>
      </c>
      <c r="B663" s="198" t="s">
        <v>412</v>
      </c>
      <c r="C663" s="182" t="s">
        <v>164</v>
      </c>
      <c r="D663" s="182" t="s">
        <v>148</v>
      </c>
      <c r="E663" s="182" t="s">
        <v>89</v>
      </c>
      <c r="F663" s="182" t="s">
        <v>409</v>
      </c>
      <c r="G663" s="217">
        <f>H663+I663</f>
        <v>0</v>
      </c>
      <c r="H663" s="217">
        <f>H667</f>
        <v>0</v>
      </c>
      <c r="I663" s="217">
        <f>I664</f>
        <v>0</v>
      </c>
    </row>
    <row r="664" spans="1:9" ht="72" customHeight="1" hidden="1">
      <c r="A664" s="111" t="s">
        <v>622</v>
      </c>
      <c r="B664" s="175" t="s">
        <v>412</v>
      </c>
      <c r="C664" s="115" t="s">
        <v>164</v>
      </c>
      <c r="D664" s="115" t="s">
        <v>148</v>
      </c>
      <c r="E664" s="115" t="s">
        <v>604</v>
      </c>
      <c r="F664" s="115" t="s">
        <v>409</v>
      </c>
      <c r="G664" s="218">
        <f>I664</f>
        <v>0</v>
      </c>
      <c r="H664" s="218"/>
      <c r="I664" s="218">
        <f>I665</f>
        <v>0</v>
      </c>
    </row>
    <row r="665" spans="1:9" ht="43.5" customHeight="1" hidden="1">
      <c r="A665" s="35" t="s">
        <v>605</v>
      </c>
      <c r="B665" s="43" t="s">
        <v>412</v>
      </c>
      <c r="C665" s="66" t="s">
        <v>164</v>
      </c>
      <c r="D665" s="66" t="s">
        <v>148</v>
      </c>
      <c r="E665" s="66" t="s">
        <v>604</v>
      </c>
      <c r="F665" s="66" t="s">
        <v>211</v>
      </c>
      <c r="G665" s="188">
        <f>I665</f>
        <v>0</v>
      </c>
      <c r="H665" s="188"/>
      <c r="I665" s="188">
        <f>I666</f>
        <v>0</v>
      </c>
    </row>
    <row r="666" spans="1:9" ht="20.25" customHeight="1" hidden="1">
      <c r="A666" s="35" t="s">
        <v>175</v>
      </c>
      <c r="B666" s="43" t="s">
        <v>412</v>
      </c>
      <c r="C666" s="66" t="s">
        <v>164</v>
      </c>
      <c r="D666" s="66" t="s">
        <v>148</v>
      </c>
      <c r="E666" s="66" t="s">
        <v>604</v>
      </c>
      <c r="F666" s="66" t="s">
        <v>287</v>
      </c>
      <c r="G666" s="188">
        <f>I666</f>
        <v>0</v>
      </c>
      <c r="H666" s="188"/>
      <c r="I666" s="188">
        <v>0</v>
      </c>
    </row>
    <row r="667" spans="1:9" ht="85.5" customHeight="1" hidden="1">
      <c r="A667" s="111" t="s">
        <v>623</v>
      </c>
      <c r="B667" s="175" t="s">
        <v>412</v>
      </c>
      <c r="C667" s="115" t="s">
        <v>164</v>
      </c>
      <c r="D667" s="115" t="s">
        <v>148</v>
      </c>
      <c r="E667" s="115" t="s">
        <v>606</v>
      </c>
      <c r="F667" s="115" t="s">
        <v>409</v>
      </c>
      <c r="G667" s="218">
        <f>H667</f>
        <v>0</v>
      </c>
      <c r="H667" s="218">
        <f>H668</f>
        <v>0</v>
      </c>
      <c r="I667" s="218"/>
    </row>
    <row r="668" spans="1:9" ht="42" customHeight="1" hidden="1">
      <c r="A668" s="35" t="s">
        <v>605</v>
      </c>
      <c r="B668" s="43" t="s">
        <v>412</v>
      </c>
      <c r="C668" s="66" t="s">
        <v>164</v>
      </c>
      <c r="D668" s="66" t="s">
        <v>148</v>
      </c>
      <c r="E668" s="66" t="s">
        <v>606</v>
      </c>
      <c r="F668" s="66" t="s">
        <v>211</v>
      </c>
      <c r="G668" s="188">
        <f>H668</f>
        <v>0</v>
      </c>
      <c r="H668" s="188">
        <f>H669</f>
        <v>0</v>
      </c>
      <c r="I668" s="188"/>
    </row>
    <row r="669" spans="1:9" ht="23.25" customHeight="1" hidden="1">
      <c r="A669" s="35" t="s">
        <v>175</v>
      </c>
      <c r="B669" s="43" t="s">
        <v>412</v>
      </c>
      <c r="C669" s="66" t="s">
        <v>164</v>
      </c>
      <c r="D669" s="66" t="s">
        <v>148</v>
      </c>
      <c r="E669" s="66" t="s">
        <v>606</v>
      </c>
      <c r="F669" s="66" t="s">
        <v>287</v>
      </c>
      <c r="G669" s="188">
        <f>H669</f>
        <v>0</v>
      </c>
      <c r="H669" s="188">
        <v>0</v>
      </c>
      <c r="I669" s="188"/>
    </row>
    <row r="670" spans="1:9" ht="42.75">
      <c r="A670" s="112" t="s">
        <v>138</v>
      </c>
      <c r="B670" s="455" t="s">
        <v>411</v>
      </c>
      <c r="C670" s="455" t="s">
        <v>147</v>
      </c>
      <c r="D670" s="455" t="s">
        <v>147</v>
      </c>
      <c r="E670" s="455" t="s">
        <v>320</v>
      </c>
      <c r="F670" s="455" t="s">
        <v>409</v>
      </c>
      <c r="G670" s="224">
        <f aca="true" t="shared" si="41" ref="G670:G680">H670+I670</f>
        <v>1680.7</v>
      </c>
      <c r="H670" s="313">
        <f>H671</f>
        <v>1680.7</v>
      </c>
      <c r="I670" s="313">
        <f>I671</f>
        <v>0</v>
      </c>
    </row>
    <row r="671" spans="1:9" ht="60">
      <c r="A671" s="104" t="s">
        <v>398</v>
      </c>
      <c r="B671" s="179" t="s">
        <v>411</v>
      </c>
      <c r="C671" s="82" t="s">
        <v>146</v>
      </c>
      <c r="D671" s="82" t="s">
        <v>159</v>
      </c>
      <c r="E671" s="82" t="s">
        <v>320</v>
      </c>
      <c r="F671" s="82" t="s">
        <v>409</v>
      </c>
      <c r="G671" s="188">
        <f t="shared" si="41"/>
        <v>1680.7</v>
      </c>
      <c r="H671" s="275">
        <f>H672</f>
        <v>1680.7</v>
      </c>
      <c r="I671" s="275">
        <f>I672</f>
        <v>0</v>
      </c>
    </row>
    <row r="672" spans="1:9" ht="30">
      <c r="A672" s="226" t="s">
        <v>160</v>
      </c>
      <c r="B672" s="179" t="s">
        <v>411</v>
      </c>
      <c r="C672" s="82" t="s">
        <v>146</v>
      </c>
      <c r="D672" s="82" t="s">
        <v>159</v>
      </c>
      <c r="E672" s="82" t="s">
        <v>10</v>
      </c>
      <c r="F672" s="82" t="s">
        <v>409</v>
      </c>
      <c r="G672" s="188">
        <f t="shared" si="41"/>
        <v>1680.7</v>
      </c>
      <c r="H672" s="275">
        <f>H673</f>
        <v>1680.7</v>
      </c>
      <c r="I672" s="275">
        <f>I673+I678</f>
        <v>0</v>
      </c>
    </row>
    <row r="673" spans="1:9" ht="45">
      <c r="A673" s="35" t="s">
        <v>161</v>
      </c>
      <c r="B673" s="179" t="s">
        <v>411</v>
      </c>
      <c r="C673" s="82" t="s">
        <v>146</v>
      </c>
      <c r="D673" s="82" t="s">
        <v>159</v>
      </c>
      <c r="E673" s="82" t="s">
        <v>11</v>
      </c>
      <c r="F673" s="82" t="s">
        <v>409</v>
      </c>
      <c r="G673" s="188">
        <f t="shared" si="41"/>
        <v>1680.7</v>
      </c>
      <c r="H673" s="275">
        <f>H674+H676+H678</f>
        <v>1680.7</v>
      </c>
      <c r="I673" s="275">
        <f>I674+I676+I678</f>
        <v>0</v>
      </c>
    </row>
    <row r="674" spans="1:9" ht="30">
      <c r="A674" s="35" t="s">
        <v>187</v>
      </c>
      <c r="B674" s="179" t="s">
        <v>411</v>
      </c>
      <c r="C674" s="82" t="s">
        <v>146</v>
      </c>
      <c r="D674" s="82" t="s">
        <v>159</v>
      </c>
      <c r="E674" s="82" t="s">
        <v>14</v>
      </c>
      <c r="F674" s="82" t="s">
        <v>155</v>
      </c>
      <c r="G674" s="188">
        <f t="shared" si="41"/>
        <v>93.3</v>
      </c>
      <c r="H674" s="275">
        <f>H675</f>
        <v>93.3</v>
      </c>
      <c r="I674" s="275">
        <f>I675</f>
        <v>0</v>
      </c>
    </row>
    <row r="675" spans="1:9" ht="45">
      <c r="A675" s="42" t="s">
        <v>188</v>
      </c>
      <c r="B675" s="179" t="s">
        <v>411</v>
      </c>
      <c r="C675" s="82" t="s">
        <v>146</v>
      </c>
      <c r="D675" s="82" t="s">
        <v>159</v>
      </c>
      <c r="E675" s="82" t="s">
        <v>14</v>
      </c>
      <c r="F675" s="82" t="s">
        <v>189</v>
      </c>
      <c r="G675" s="188">
        <f t="shared" si="41"/>
        <v>93.3</v>
      </c>
      <c r="H675" s="188">
        <v>93.3</v>
      </c>
      <c r="I675" s="275"/>
    </row>
    <row r="676" spans="1:9" ht="15">
      <c r="A676" s="42" t="s">
        <v>192</v>
      </c>
      <c r="B676" s="179" t="s">
        <v>411</v>
      </c>
      <c r="C676" s="82" t="s">
        <v>146</v>
      </c>
      <c r="D676" s="82" t="s">
        <v>159</v>
      </c>
      <c r="E676" s="82" t="s">
        <v>14</v>
      </c>
      <c r="F676" s="82" t="s">
        <v>193</v>
      </c>
      <c r="G676" s="188">
        <f t="shared" si="41"/>
        <v>2</v>
      </c>
      <c r="H676" s="188">
        <f>H677</f>
        <v>2</v>
      </c>
      <c r="I676" s="275"/>
    </row>
    <row r="677" spans="1:9" ht="15">
      <c r="A677" s="42" t="s">
        <v>190</v>
      </c>
      <c r="B677" s="179" t="s">
        <v>411</v>
      </c>
      <c r="C677" s="82" t="s">
        <v>146</v>
      </c>
      <c r="D677" s="82" t="s">
        <v>159</v>
      </c>
      <c r="E677" s="82" t="s">
        <v>14</v>
      </c>
      <c r="F677" s="82" t="s">
        <v>191</v>
      </c>
      <c r="G677" s="188">
        <f t="shared" si="41"/>
        <v>2</v>
      </c>
      <c r="H677" s="188">
        <v>2</v>
      </c>
      <c r="I677" s="275"/>
    </row>
    <row r="678" spans="1:9" ht="30">
      <c r="A678" s="110" t="s">
        <v>162</v>
      </c>
      <c r="B678" s="473" t="s">
        <v>411</v>
      </c>
      <c r="C678" s="479" t="s">
        <v>146</v>
      </c>
      <c r="D678" s="479" t="s">
        <v>159</v>
      </c>
      <c r="E678" s="479" t="s">
        <v>15</v>
      </c>
      <c r="F678" s="479" t="s">
        <v>409</v>
      </c>
      <c r="G678" s="218">
        <f t="shared" si="41"/>
        <v>1585.4</v>
      </c>
      <c r="H678" s="312">
        <f>H679</f>
        <v>1585.4</v>
      </c>
      <c r="I678" s="312">
        <f>I679</f>
        <v>0</v>
      </c>
    </row>
    <row r="679" spans="1:9" ht="82.5" customHeight="1">
      <c r="A679" s="35" t="s">
        <v>184</v>
      </c>
      <c r="B679" s="179" t="s">
        <v>411</v>
      </c>
      <c r="C679" s="82" t="s">
        <v>146</v>
      </c>
      <c r="D679" s="82" t="s">
        <v>159</v>
      </c>
      <c r="E679" s="82" t="s">
        <v>15</v>
      </c>
      <c r="F679" s="82" t="s">
        <v>151</v>
      </c>
      <c r="G679" s="188">
        <f t="shared" si="41"/>
        <v>1585.4</v>
      </c>
      <c r="H679" s="188">
        <f>H680</f>
        <v>1585.4</v>
      </c>
      <c r="I679" s="188">
        <f>I680</f>
        <v>0</v>
      </c>
    </row>
    <row r="680" spans="1:9" ht="29.25" customHeight="1">
      <c r="A680" s="42" t="s">
        <v>186</v>
      </c>
      <c r="B680" s="179" t="s">
        <v>411</v>
      </c>
      <c r="C680" s="82" t="s">
        <v>146</v>
      </c>
      <c r="D680" s="82" t="s">
        <v>159</v>
      </c>
      <c r="E680" s="82" t="s">
        <v>15</v>
      </c>
      <c r="F680" s="82" t="s">
        <v>185</v>
      </c>
      <c r="G680" s="188">
        <f t="shared" si="41"/>
        <v>1585.4</v>
      </c>
      <c r="H680" s="188">
        <v>1585.4</v>
      </c>
      <c r="I680" s="321"/>
    </row>
    <row r="681" spans="1:9" s="26" customFormat="1" ht="15">
      <c r="A681" s="253" t="s">
        <v>139</v>
      </c>
      <c r="B681" s="486"/>
      <c r="C681" s="486"/>
      <c r="D681" s="486"/>
      <c r="E681" s="486"/>
      <c r="F681" s="486"/>
      <c r="G681" s="211">
        <f>I681+H681</f>
        <v>608030.8735100001</v>
      </c>
      <c r="H681" s="211">
        <f>H12+H430+H446+H485+H670</f>
        <v>310418.97013000003</v>
      </c>
      <c r="I681" s="211">
        <f>I12+I430+I446+I485+I670</f>
        <v>297611.90338000003</v>
      </c>
    </row>
    <row r="682" spans="7:8" ht="14.25">
      <c r="G682" s="563"/>
      <c r="H682" s="574"/>
    </row>
    <row r="683" spans="6:9" ht="14.25">
      <c r="F683" s="592"/>
      <c r="G683" s="593"/>
      <c r="H683" s="187"/>
      <c r="I683" s="187"/>
    </row>
    <row r="684" spans="6:9" ht="14.25">
      <c r="F684" s="592"/>
      <c r="G684" s="593"/>
      <c r="H684" s="187"/>
      <c r="I684" s="187"/>
    </row>
    <row r="685" spans="6:9" ht="14.25">
      <c r="F685" s="592"/>
      <c r="G685" s="593"/>
      <c r="H685" s="187"/>
      <c r="I685" s="187"/>
    </row>
    <row r="686" spans="1:9" s="264" customFormat="1" ht="14.25">
      <c r="A686" s="564"/>
      <c r="E686" s="262"/>
      <c r="F686" s="594"/>
      <c r="G686" s="263"/>
      <c r="H686" s="342"/>
      <c r="I686" s="342"/>
    </row>
    <row r="687" spans="1:7" s="264" customFormat="1" ht="14.25">
      <c r="A687" s="564"/>
      <c r="G687" s="565"/>
    </row>
  </sheetData>
  <sheetProtection/>
  <mergeCells count="16">
    <mergeCell ref="A10:A11"/>
    <mergeCell ref="B10:B11"/>
    <mergeCell ref="C10:C11"/>
    <mergeCell ref="D10:D11"/>
    <mergeCell ref="E10:E11"/>
    <mergeCell ref="F10:F11"/>
    <mergeCell ref="G10:G11"/>
    <mergeCell ref="H10:I10"/>
    <mergeCell ref="G1:I1"/>
    <mergeCell ref="F2:I2"/>
    <mergeCell ref="B3:F3"/>
    <mergeCell ref="G3:I3"/>
    <mergeCell ref="B4:F4"/>
    <mergeCell ref="G4:I4"/>
    <mergeCell ref="A6:I6"/>
    <mergeCell ref="A7:I7"/>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sheetPr>
  <dimension ref="A1:G242"/>
  <sheetViews>
    <sheetView view="pageBreakPreview" zoomScaleSheetLayoutView="100" zoomScalePageLayoutView="0" workbookViewId="0" topLeftCell="A38">
      <selection activeCell="A6" sqref="A6:D6"/>
    </sheetView>
  </sheetViews>
  <sheetFormatPr defaultColWidth="8.75390625" defaultRowHeight="12.75"/>
  <cols>
    <col min="1" max="1" width="73.75390625" style="38" customWidth="1"/>
    <col min="2" max="2" width="6.75390625" style="56" customWidth="1"/>
    <col min="3" max="3" width="18.625" style="502" customWidth="1"/>
    <col min="4" max="4" width="14.75390625" style="215" customWidth="1"/>
    <col min="5" max="5" width="16.375" style="56" customWidth="1"/>
    <col min="6" max="6" width="14.25390625" style="56" customWidth="1"/>
    <col min="7" max="7" width="14.75390625" style="56" bestFit="1" customWidth="1"/>
    <col min="8" max="16384" width="8.75390625" style="56" customWidth="1"/>
  </cols>
  <sheetData>
    <row r="1" spans="1:4" ht="15.75">
      <c r="A1" s="654" t="s">
        <v>894</v>
      </c>
      <c r="B1" s="654"/>
      <c r="C1" s="654"/>
      <c r="D1" s="654"/>
    </row>
    <row r="2" spans="1:4" ht="15.75">
      <c r="A2" s="654" t="s">
        <v>405</v>
      </c>
      <c r="B2" s="654"/>
      <c r="C2" s="654"/>
      <c r="D2" s="654"/>
    </row>
    <row r="3" spans="1:4" ht="15.75">
      <c r="A3" s="654" t="s">
        <v>447</v>
      </c>
      <c r="B3" s="654"/>
      <c r="C3" s="654"/>
      <c r="D3" s="654"/>
    </row>
    <row r="4" spans="1:4" ht="15.75">
      <c r="A4" s="622" t="s">
        <v>944</v>
      </c>
      <c r="B4" s="622"/>
      <c r="C4" s="622"/>
      <c r="D4" s="622"/>
    </row>
    <row r="5" spans="1:3" ht="5.25" customHeight="1">
      <c r="A5" s="37"/>
      <c r="B5" s="488"/>
      <c r="C5" s="489"/>
    </row>
    <row r="6" spans="1:4" ht="60.75" customHeight="1">
      <c r="A6" s="652" t="s">
        <v>798</v>
      </c>
      <c r="B6" s="652"/>
      <c r="C6" s="652"/>
      <c r="D6" s="652"/>
    </row>
    <row r="7" spans="1:4" ht="3.75" customHeight="1">
      <c r="A7" s="63"/>
      <c r="B7" s="63"/>
      <c r="C7" s="63"/>
      <c r="D7" s="265"/>
    </row>
    <row r="8" spans="1:4" ht="12.75">
      <c r="A8" s="37"/>
      <c r="B8" s="490"/>
      <c r="C8" s="491"/>
      <c r="D8" s="266" t="s">
        <v>135</v>
      </c>
    </row>
    <row r="9" spans="1:4" ht="39.75" customHeight="1">
      <c r="A9" s="492" t="s">
        <v>347</v>
      </c>
      <c r="B9" s="492" t="s">
        <v>292</v>
      </c>
      <c r="C9" s="492" t="s">
        <v>349</v>
      </c>
      <c r="D9" s="267" t="s">
        <v>520</v>
      </c>
    </row>
    <row r="10" spans="1:4" s="14" customFormat="1" ht="10.5" customHeight="1">
      <c r="A10" s="493">
        <v>1</v>
      </c>
      <c r="B10" s="493">
        <v>2</v>
      </c>
      <c r="C10" s="493">
        <v>3</v>
      </c>
      <c r="D10" s="278">
        <v>4</v>
      </c>
    </row>
    <row r="11" spans="1:4" s="65" customFormat="1" ht="18.75" customHeight="1">
      <c r="A11" s="653" t="s">
        <v>122</v>
      </c>
      <c r="B11" s="653"/>
      <c r="C11" s="653"/>
      <c r="D11" s="653"/>
    </row>
    <row r="12" spans="1:6" s="27" customFormat="1" ht="35.25" customHeight="1">
      <c r="A12" s="36" t="s">
        <v>483</v>
      </c>
      <c r="B12" s="73" t="s">
        <v>409</v>
      </c>
      <c r="C12" s="73" t="s">
        <v>29</v>
      </c>
      <c r="D12" s="268">
        <f>D13+D30+D36+D39+D51+D56+D59+D62+D53+D64</f>
        <v>437526.13159000006</v>
      </c>
      <c r="E12" s="597"/>
      <c r="F12" s="597"/>
    </row>
    <row r="13" spans="1:7" s="28" customFormat="1" ht="30" customHeight="1">
      <c r="A13" s="74" t="s">
        <v>295</v>
      </c>
      <c r="B13" s="75" t="s">
        <v>412</v>
      </c>
      <c r="C13" s="75" t="s">
        <v>47</v>
      </c>
      <c r="D13" s="269">
        <f>D14+D15+D19+D22+D23+D24+D25+D26+D27+D28+D29+D18</f>
        <v>276442.16704</v>
      </c>
      <c r="E13" s="353"/>
      <c r="F13" s="353"/>
      <c r="G13" s="353"/>
    </row>
    <row r="14" spans="1:4" s="68" customFormat="1" ht="16.5" customHeight="1">
      <c r="A14" s="35" t="s">
        <v>254</v>
      </c>
      <c r="B14" s="43" t="s">
        <v>412</v>
      </c>
      <c r="C14" s="43" t="s">
        <v>49</v>
      </c>
      <c r="D14" s="188">
        <f>700+100+393.313+48.5+210+10268.72-487.046</f>
        <v>11233.487</v>
      </c>
    </row>
    <row r="15" spans="1:4" s="68" customFormat="1" ht="40.5" customHeight="1" hidden="1">
      <c r="A15" s="110" t="s">
        <v>581</v>
      </c>
      <c r="B15" s="175" t="s">
        <v>412</v>
      </c>
      <c r="C15" s="175" t="s">
        <v>582</v>
      </c>
      <c r="D15" s="218">
        <f>D16+D17</f>
        <v>107</v>
      </c>
    </row>
    <row r="16" spans="1:4" s="68" customFormat="1" ht="62.25" customHeight="1" hidden="1">
      <c r="A16" s="35" t="s">
        <v>626</v>
      </c>
      <c r="B16" s="43" t="s">
        <v>412</v>
      </c>
      <c r="C16" s="43" t="s">
        <v>583</v>
      </c>
      <c r="D16" s="188">
        <v>0</v>
      </c>
    </row>
    <row r="17" spans="1:4" s="68" customFormat="1" ht="41.25" customHeight="1">
      <c r="A17" s="35" t="s">
        <v>697</v>
      </c>
      <c r="B17" s="43" t="s">
        <v>412</v>
      </c>
      <c r="C17" s="43" t="s">
        <v>688</v>
      </c>
      <c r="D17" s="188">
        <f>76+100-69</f>
        <v>107</v>
      </c>
    </row>
    <row r="18" spans="1:5" s="68" customFormat="1" ht="29.25" customHeight="1">
      <c r="A18" s="35" t="s">
        <v>868</v>
      </c>
      <c r="B18" s="43" t="s">
        <v>412</v>
      </c>
      <c r="C18" s="43" t="s">
        <v>867</v>
      </c>
      <c r="D18" s="188">
        <v>372</v>
      </c>
      <c r="E18" s="48"/>
    </row>
    <row r="19" spans="1:7" s="68" customFormat="1" ht="45" customHeight="1" hidden="1">
      <c r="A19" s="176" t="s">
        <v>668</v>
      </c>
      <c r="B19" s="200" t="s">
        <v>176</v>
      </c>
      <c r="C19" s="200"/>
      <c r="D19" s="201">
        <f>D20+D21</f>
        <v>0</v>
      </c>
      <c r="G19" s="390"/>
    </row>
    <row r="20" spans="1:4" s="68" customFormat="1" ht="46.5" customHeight="1" hidden="1">
      <c r="A20" s="35" t="s">
        <v>669</v>
      </c>
      <c r="B20" s="43" t="s">
        <v>176</v>
      </c>
      <c r="C20" s="43" t="s">
        <v>687</v>
      </c>
      <c r="D20" s="188"/>
    </row>
    <row r="21" spans="1:7" s="68" customFormat="1" ht="55.5" customHeight="1" hidden="1">
      <c r="A21" s="35" t="s">
        <v>670</v>
      </c>
      <c r="B21" s="43" t="s">
        <v>176</v>
      </c>
      <c r="C21" s="43" t="s">
        <v>741</v>
      </c>
      <c r="D21" s="188">
        <f>325-255-70</f>
        <v>0</v>
      </c>
      <c r="G21" s="390"/>
    </row>
    <row r="22" spans="1:4" s="68" customFormat="1" ht="71.25" customHeight="1" hidden="1">
      <c r="A22" s="35" t="s">
        <v>670</v>
      </c>
      <c r="B22" s="43" t="s">
        <v>176</v>
      </c>
      <c r="C22" s="43" t="s">
        <v>688</v>
      </c>
      <c r="D22" s="188"/>
    </row>
    <row r="23" spans="1:4" s="68" customFormat="1" ht="39.75" customHeight="1">
      <c r="A23" s="35" t="s">
        <v>808</v>
      </c>
      <c r="B23" s="43" t="s">
        <v>412</v>
      </c>
      <c r="C23" s="43" t="s">
        <v>809</v>
      </c>
      <c r="D23" s="188">
        <f>50+68.47928-46</f>
        <v>72.47928</v>
      </c>
    </row>
    <row r="24" spans="1:4" s="48" customFormat="1" ht="41.25" customHeight="1">
      <c r="A24" s="35" t="s">
        <v>931</v>
      </c>
      <c r="B24" s="43" t="s">
        <v>412</v>
      </c>
      <c r="C24" s="43" t="s">
        <v>50</v>
      </c>
      <c r="D24" s="188">
        <f>53588.5-300+0.03321+7299.18953-2500+30.30302-287.5+4678.14+625.912+11091.4</f>
        <v>74225.97776</v>
      </c>
    </row>
    <row r="25" spans="1:5" s="48" customFormat="1" ht="42" customHeight="1">
      <c r="A25" s="35" t="s">
        <v>108</v>
      </c>
      <c r="B25" s="43" t="s">
        <v>412</v>
      </c>
      <c r="C25" s="43" t="s">
        <v>61</v>
      </c>
      <c r="D25" s="188">
        <f>161257.823-3185.1</f>
        <v>158072.723</v>
      </c>
      <c r="E25" s="577"/>
    </row>
    <row r="26" spans="1:4" s="48" customFormat="1" ht="30" customHeight="1">
      <c r="A26" s="35" t="s">
        <v>627</v>
      </c>
      <c r="B26" s="43" t="s">
        <v>412</v>
      </c>
      <c r="C26" s="43" t="s">
        <v>585</v>
      </c>
      <c r="D26" s="188">
        <v>7270.9</v>
      </c>
    </row>
    <row r="27" spans="1:4" s="48" customFormat="1" ht="48" customHeight="1">
      <c r="A27" s="35" t="s">
        <v>598</v>
      </c>
      <c r="B27" s="43" t="s">
        <v>412</v>
      </c>
      <c r="C27" s="43" t="s">
        <v>917</v>
      </c>
      <c r="D27" s="188">
        <v>2160</v>
      </c>
    </row>
    <row r="28" spans="1:4" s="48" customFormat="1" ht="44.25" customHeight="1">
      <c r="A28" s="35" t="s">
        <v>791</v>
      </c>
      <c r="B28" s="43" t="s">
        <v>412</v>
      </c>
      <c r="C28" s="43" t="s">
        <v>792</v>
      </c>
      <c r="D28" s="188">
        <f>18147.5-7270.9</f>
        <v>10876.6</v>
      </c>
    </row>
    <row r="29" spans="1:4" s="48" customFormat="1" ht="42.75" customHeight="1">
      <c r="A29" s="35" t="s">
        <v>785</v>
      </c>
      <c r="B29" s="43" t="s">
        <v>412</v>
      </c>
      <c r="C29" s="43" t="s">
        <v>793</v>
      </c>
      <c r="D29" s="188">
        <v>12051</v>
      </c>
    </row>
    <row r="30" spans="1:6" s="28" customFormat="1" ht="33" customHeight="1">
      <c r="A30" s="74" t="s">
        <v>296</v>
      </c>
      <c r="B30" s="75" t="s">
        <v>412</v>
      </c>
      <c r="C30" s="75" t="s">
        <v>42</v>
      </c>
      <c r="D30" s="269">
        <f>SUM(D31:D35)</f>
        <v>81360.11200000001</v>
      </c>
      <c r="F30" s="353"/>
    </row>
    <row r="31" spans="1:4" s="48" customFormat="1" ht="24.75" customHeight="1">
      <c r="A31" s="35" t="s">
        <v>297</v>
      </c>
      <c r="B31" s="43" t="s">
        <v>412</v>
      </c>
      <c r="C31" s="43" t="s">
        <v>43</v>
      </c>
      <c r="D31" s="188">
        <f>200+200+2794.8-209.919</f>
        <v>2984.8810000000003</v>
      </c>
    </row>
    <row r="32" spans="1:4" s="48" customFormat="1" ht="33" customHeight="1">
      <c r="A32" s="35" t="s">
        <v>874</v>
      </c>
      <c r="B32" s="43" t="s">
        <v>412</v>
      </c>
      <c r="C32" s="43" t="s">
        <v>869</v>
      </c>
      <c r="D32" s="188">
        <v>80</v>
      </c>
    </row>
    <row r="33" spans="1:5" s="48" customFormat="1" ht="59.25" customHeight="1">
      <c r="A33" s="35" t="s">
        <v>932</v>
      </c>
      <c r="B33" s="43" t="s">
        <v>412</v>
      </c>
      <c r="C33" s="43" t="s">
        <v>45</v>
      </c>
      <c r="D33" s="188">
        <f>22046.4-200+4500.9-1950.4+2310.4+7124.3</f>
        <v>33831.600000000006</v>
      </c>
      <c r="E33" s="69"/>
    </row>
    <row r="34" spans="1:5" s="48" customFormat="1" ht="45" customHeight="1">
      <c r="A34" s="35" t="s">
        <v>109</v>
      </c>
      <c r="B34" s="43" t="s">
        <v>412</v>
      </c>
      <c r="C34" s="43" t="s">
        <v>46</v>
      </c>
      <c r="D34" s="188">
        <v>38428.372</v>
      </c>
      <c r="E34" s="69"/>
    </row>
    <row r="35" spans="1:5" s="48" customFormat="1" ht="58.5" customHeight="1">
      <c r="A35" s="35" t="s">
        <v>110</v>
      </c>
      <c r="B35" s="43" t="s">
        <v>412</v>
      </c>
      <c r="C35" s="43" t="s">
        <v>88</v>
      </c>
      <c r="D35" s="188">
        <v>6035.259</v>
      </c>
      <c r="E35" s="69"/>
    </row>
    <row r="36" spans="1:4" s="28" customFormat="1" ht="16.5" customHeight="1">
      <c r="A36" s="74" t="s">
        <v>298</v>
      </c>
      <c r="B36" s="75" t="s">
        <v>412</v>
      </c>
      <c r="C36" s="75" t="s">
        <v>51</v>
      </c>
      <c r="D36" s="269">
        <f>D37+D38</f>
        <v>1569</v>
      </c>
    </row>
    <row r="37" spans="1:4" s="48" customFormat="1" ht="16.5" customHeight="1">
      <c r="A37" s="35" t="s">
        <v>260</v>
      </c>
      <c r="B37" s="43" t="s">
        <v>412</v>
      </c>
      <c r="C37" s="43" t="s">
        <v>53</v>
      </c>
      <c r="D37" s="272">
        <v>250</v>
      </c>
    </row>
    <row r="38" spans="1:4" s="48" customFormat="1" ht="18.75" customHeight="1">
      <c r="A38" s="35" t="s">
        <v>255</v>
      </c>
      <c r="B38" s="43" t="s">
        <v>412</v>
      </c>
      <c r="C38" s="43" t="s">
        <v>54</v>
      </c>
      <c r="D38" s="188">
        <f>750+500+69</f>
        <v>1319</v>
      </c>
    </row>
    <row r="39" spans="1:6" s="28" customFormat="1" ht="17.25" customHeight="1">
      <c r="A39" s="74" t="s">
        <v>299</v>
      </c>
      <c r="B39" s="75" t="s">
        <v>412</v>
      </c>
      <c r="C39" s="75" t="s">
        <v>55</v>
      </c>
      <c r="D39" s="269">
        <f>SUM(D40:D50)</f>
        <v>32955.94499999999</v>
      </c>
      <c r="F39" s="353"/>
    </row>
    <row r="40" spans="1:4" s="48" customFormat="1" ht="21" customHeight="1">
      <c r="A40" s="35" t="s">
        <v>887</v>
      </c>
      <c r="B40" s="43" t="s">
        <v>176</v>
      </c>
      <c r="C40" s="43" t="s">
        <v>888</v>
      </c>
      <c r="D40" s="188">
        <f>800+945</f>
        <v>1745</v>
      </c>
    </row>
    <row r="41" spans="1:4" s="48" customFormat="1" ht="32.25" customHeight="1">
      <c r="A41" s="35" t="s">
        <v>887</v>
      </c>
      <c r="B41" s="43" t="s">
        <v>412</v>
      </c>
      <c r="C41" s="43" t="s">
        <v>888</v>
      </c>
      <c r="D41" s="188">
        <f>225+96.966+599.999</f>
        <v>921.965</v>
      </c>
    </row>
    <row r="42" spans="1:4" s="48" customFormat="1" ht="20.25" customHeight="1">
      <c r="A42" s="35" t="s">
        <v>126</v>
      </c>
      <c r="B42" s="43" t="s">
        <v>412</v>
      </c>
      <c r="C42" s="66" t="s">
        <v>57</v>
      </c>
      <c r="D42" s="188">
        <f>3819.1+1302.2+180+1017.8+46</f>
        <v>6365.1</v>
      </c>
    </row>
    <row r="43" spans="1:4" s="48" customFormat="1" ht="28.5" customHeight="1">
      <c r="A43" s="35" t="s">
        <v>871</v>
      </c>
      <c r="B43" s="43" t="s">
        <v>412</v>
      </c>
      <c r="C43" s="66" t="s">
        <v>870</v>
      </c>
      <c r="D43" s="188">
        <v>48</v>
      </c>
    </row>
    <row r="44" spans="1:7" s="48" customFormat="1" ht="18.75" customHeight="1">
      <c r="A44" s="35" t="s">
        <v>898</v>
      </c>
      <c r="B44" s="43" t="s">
        <v>412</v>
      </c>
      <c r="C44" s="66" t="s">
        <v>58</v>
      </c>
      <c r="D44" s="188">
        <f>8578.88+2555.1+390+7+850.5</f>
        <v>12381.48</v>
      </c>
      <c r="F44" s="187"/>
      <c r="G44" s="187"/>
    </row>
    <row r="45" spans="1:5" s="48" customFormat="1" ht="21" customHeight="1">
      <c r="A45" s="35" t="s">
        <v>248</v>
      </c>
      <c r="B45" s="43" t="s">
        <v>176</v>
      </c>
      <c r="C45" s="43" t="s">
        <v>59</v>
      </c>
      <c r="D45" s="188">
        <f>4998.16+1893.3+180+530</f>
        <v>7601.46</v>
      </c>
      <c r="E45" s="69"/>
    </row>
    <row r="46" spans="1:5" s="48" customFormat="1" ht="21" customHeight="1">
      <c r="A46" s="35" t="s">
        <v>249</v>
      </c>
      <c r="B46" s="43" t="s">
        <v>176</v>
      </c>
      <c r="C46" s="43" t="s">
        <v>60</v>
      </c>
      <c r="D46" s="188">
        <f>2235.64+910.3+100+350</f>
        <v>3595.9399999999996</v>
      </c>
      <c r="E46" s="69"/>
    </row>
    <row r="47" spans="1:5" s="48" customFormat="1" ht="31.5" customHeight="1" hidden="1">
      <c r="A47" s="176" t="s">
        <v>671</v>
      </c>
      <c r="B47" s="200" t="s">
        <v>412</v>
      </c>
      <c r="C47" s="43" t="s">
        <v>888</v>
      </c>
      <c r="D47" s="201">
        <f>D48+D49</f>
        <v>0</v>
      </c>
      <c r="E47" s="69"/>
    </row>
    <row r="48" spans="1:5" s="48" customFormat="1" ht="42" customHeight="1" hidden="1">
      <c r="A48" s="35" t="s">
        <v>672</v>
      </c>
      <c r="B48" s="43" t="s">
        <v>412</v>
      </c>
      <c r="C48" s="43" t="s">
        <v>899</v>
      </c>
      <c r="D48" s="188"/>
      <c r="E48" s="187"/>
    </row>
    <row r="49" spans="1:5" s="48" customFormat="1" ht="59.25" customHeight="1" hidden="1">
      <c r="A49" s="35" t="s">
        <v>673</v>
      </c>
      <c r="B49" s="43" t="s">
        <v>412</v>
      </c>
      <c r="C49" s="43" t="s">
        <v>900</v>
      </c>
      <c r="D49" s="188"/>
      <c r="E49" s="187"/>
    </row>
    <row r="50" spans="1:5" s="48" customFormat="1" ht="45" customHeight="1">
      <c r="A50" s="35" t="s">
        <v>913</v>
      </c>
      <c r="B50" s="43" t="s">
        <v>412</v>
      </c>
      <c r="C50" s="43" t="s">
        <v>899</v>
      </c>
      <c r="D50" s="188">
        <f>220+46+31</f>
        <v>297</v>
      </c>
      <c r="E50" s="187"/>
    </row>
    <row r="51" spans="1:5" s="28" customFormat="1" ht="17.25" customHeight="1">
      <c r="A51" s="74" t="s">
        <v>300</v>
      </c>
      <c r="B51" s="75" t="s">
        <v>412</v>
      </c>
      <c r="C51" s="75" t="s">
        <v>62</v>
      </c>
      <c r="D51" s="269">
        <f>D52</f>
        <v>50</v>
      </c>
      <c r="E51" s="190"/>
    </row>
    <row r="52" spans="1:4" s="70" customFormat="1" ht="17.25" customHeight="1">
      <c r="A52" s="35" t="s">
        <v>806</v>
      </c>
      <c r="B52" s="43" t="s">
        <v>412</v>
      </c>
      <c r="C52" s="43" t="s">
        <v>63</v>
      </c>
      <c r="D52" s="188">
        <f>30+20</f>
        <v>50</v>
      </c>
    </row>
    <row r="53" spans="1:5" s="28" customFormat="1" ht="17.25" customHeight="1">
      <c r="A53" s="74" t="s">
        <v>462</v>
      </c>
      <c r="B53" s="75" t="s">
        <v>412</v>
      </c>
      <c r="C53" s="75" t="s">
        <v>64</v>
      </c>
      <c r="D53" s="269">
        <f>D54+D55</f>
        <v>943.72055</v>
      </c>
      <c r="E53" s="190"/>
    </row>
    <row r="54" spans="1:4" s="70" customFormat="1" ht="45" customHeight="1">
      <c r="A54" s="35" t="s">
        <v>739</v>
      </c>
      <c r="B54" s="43" t="s">
        <v>412</v>
      </c>
      <c r="C54" s="43" t="s">
        <v>65</v>
      </c>
      <c r="D54" s="188">
        <v>896.82255</v>
      </c>
    </row>
    <row r="55" spans="1:4" s="70" customFormat="1" ht="32.25" customHeight="1">
      <c r="A55" s="35" t="s">
        <v>896</v>
      </c>
      <c r="B55" s="43" t="s">
        <v>412</v>
      </c>
      <c r="C55" s="43" t="s">
        <v>895</v>
      </c>
      <c r="D55" s="188">
        <v>46.898</v>
      </c>
    </row>
    <row r="56" spans="1:5" s="28" customFormat="1" ht="18.75" customHeight="1">
      <c r="A56" s="74" t="s">
        <v>301</v>
      </c>
      <c r="B56" s="75" t="s">
        <v>412</v>
      </c>
      <c r="C56" s="75" t="s">
        <v>66</v>
      </c>
      <c r="D56" s="269">
        <f>D57+D58</f>
        <v>43972.187000000005</v>
      </c>
      <c r="E56" s="190"/>
    </row>
    <row r="57" spans="1:4" s="48" customFormat="1" ht="31.5" customHeight="1">
      <c r="A57" s="35" t="s">
        <v>178</v>
      </c>
      <c r="B57" s="43" t="s">
        <v>412</v>
      </c>
      <c r="C57" s="43" t="s">
        <v>67</v>
      </c>
      <c r="D57" s="188">
        <f>40712.73+200</f>
        <v>40912.73</v>
      </c>
    </row>
    <row r="58" spans="1:4" s="48" customFormat="1" ht="42" customHeight="1">
      <c r="A58" s="35" t="s">
        <v>541</v>
      </c>
      <c r="B58" s="43" t="s">
        <v>412</v>
      </c>
      <c r="C58" s="43" t="s">
        <v>67</v>
      </c>
      <c r="D58" s="188">
        <f>1630.957+1338.5+90</f>
        <v>3059.4570000000003</v>
      </c>
    </row>
    <row r="59" spans="1:5" s="28" customFormat="1" ht="17.25" customHeight="1">
      <c r="A59" s="74" t="s">
        <v>31</v>
      </c>
      <c r="B59" s="75" t="s">
        <v>412</v>
      </c>
      <c r="C59" s="75" t="s">
        <v>30</v>
      </c>
      <c r="D59" s="269">
        <f>D60+D61</f>
        <v>150</v>
      </c>
      <c r="E59" s="190"/>
    </row>
    <row r="60" spans="1:5" s="44" customFormat="1" ht="15.75" customHeight="1">
      <c r="A60" s="35" t="s">
        <v>401</v>
      </c>
      <c r="B60" s="15">
        <v>951</v>
      </c>
      <c r="C60" s="43" t="s">
        <v>33</v>
      </c>
      <c r="D60" s="188">
        <v>111</v>
      </c>
      <c r="E60" s="68"/>
    </row>
    <row r="61" spans="1:4" s="70" customFormat="1" ht="15.75" customHeight="1">
      <c r="A61" s="35" t="s">
        <v>340</v>
      </c>
      <c r="B61" s="15">
        <v>951</v>
      </c>
      <c r="C61" s="43" t="s">
        <v>82</v>
      </c>
      <c r="D61" s="188">
        <v>39</v>
      </c>
    </row>
    <row r="62" spans="1:5" s="28" customFormat="1" ht="17.25" customHeight="1">
      <c r="A62" s="74" t="s">
        <v>480</v>
      </c>
      <c r="B62" s="75" t="s">
        <v>176</v>
      </c>
      <c r="C62" s="75" t="s">
        <v>35</v>
      </c>
      <c r="D62" s="269">
        <f>D63</f>
        <v>83</v>
      </c>
      <c r="E62" s="190"/>
    </row>
    <row r="63" spans="1:5" s="48" customFormat="1" ht="18" customHeight="1">
      <c r="A63" s="35" t="s">
        <v>331</v>
      </c>
      <c r="B63" s="43" t="s">
        <v>176</v>
      </c>
      <c r="C63" s="43" t="s">
        <v>690</v>
      </c>
      <c r="D63" s="188">
        <v>83</v>
      </c>
      <c r="E63" s="91"/>
    </row>
    <row r="64" spans="1:5" s="48" customFormat="1" ht="47.25" customHeight="1" hidden="1">
      <c r="A64" s="116" t="s">
        <v>501</v>
      </c>
      <c r="B64" s="117" t="s">
        <v>412</v>
      </c>
      <c r="C64" s="117" t="s">
        <v>47</v>
      </c>
      <c r="D64" s="270">
        <f>D65</f>
        <v>0</v>
      </c>
      <c r="E64" s="91"/>
    </row>
    <row r="65" spans="1:5" s="48" customFormat="1" ht="29.25" customHeight="1" hidden="1">
      <c r="A65" s="118" t="s">
        <v>502</v>
      </c>
      <c r="B65" s="119" t="s">
        <v>412</v>
      </c>
      <c r="C65" s="119" t="s">
        <v>48</v>
      </c>
      <c r="D65" s="271">
        <v>0</v>
      </c>
      <c r="E65" s="91"/>
    </row>
    <row r="66" spans="1:4" s="29" customFormat="1" ht="49.5" customHeight="1">
      <c r="A66" s="191" t="s">
        <v>484</v>
      </c>
      <c r="B66" s="192" t="s">
        <v>409</v>
      </c>
      <c r="C66" s="192" t="s">
        <v>69</v>
      </c>
      <c r="D66" s="210">
        <f>D67+D68+D69</f>
        <v>600</v>
      </c>
    </row>
    <row r="67" spans="1:4" s="48" customFormat="1" ht="14.25" customHeight="1">
      <c r="A67" s="35" t="s">
        <v>113</v>
      </c>
      <c r="B67" s="43" t="s">
        <v>412</v>
      </c>
      <c r="C67" s="43" t="s">
        <v>71</v>
      </c>
      <c r="D67" s="188">
        <v>380</v>
      </c>
    </row>
    <row r="68" spans="1:4" s="48" customFormat="1" ht="15" customHeight="1">
      <c r="A68" s="35" t="s">
        <v>175</v>
      </c>
      <c r="B68" s="43" t="s">
        <v>412</v>
      </c>
      <c r="C68" s="43" t="s">
        <v>72</v>
      </c>
      <c r="D68" s="188">
        <v>218</v>
      </c>
    </row>
    <row r="69" spans="1:4" s="48" customFormat="1" ht="15" customHeight="1">
      <c r="A69" s="35" t="s">
        <v>339</v>
      </c>
      <c r="B69" s="43" t="s">
        <v>176</v>
      </c>
      <c r="C69" s="43" t="s">
        <v>83</v>
      </c>
      <c r="D69" s="188">
        <v>2</v>
      </c>
    </row>
    <row r="70" spans="1:5" s="33" customFormat="1" ht="48" customHeight="1" hidden="1">
      <c r="A70" s="193" t="s">
        <v>433</v>
      </c>
      <c r="B70" s="192" t="s">
        <v>176</v>
      </c>
      <c r="C70" s="204" t="s">
        <v>28</v>
      </c>
      <c r="D70" s="210">
        <f>D71+D72</f>
        <v>0</v>
      </c>
      <c r="E70" s="194"/>
    </row>
    <row r="71" spans="1:5" s="30" customFormat="1" ht="48.75" customHeight="1" hidden="1">
      <c r="A71" s="487" t="s">
        <v>111</v>
      </c>
      <c r="B71" s="43" t="s">
        <v>176</v>
      </c>
      <c r="C71" s="66" t="s">
        <v>464</v>
      </c>
      <c r="D71" s="188"/>
      <c r="E71" s="195"/>
    </row>
    <row r="72" spans="1:5" s="71" customFormat="1" ht="48.75" customHeight="1" hidden="1">
      <c r="A72" s="35" t="s">
        <v>112</v>
      </c>
      <c r="B72" s="43" t="s">
        <v>176</v>
      </c>
      <c r="C72" s="66" t="s">
        <v>97</v>
      </c>
      <c r="D72" s="188"/>
      <c r="E72" s="48"/>
    </row>
    <row r="73" spans="1:5" s="31" customFormat="1" ht="33.75" customHeight="1">
      <c r="A73" s="196" t="s">
        <v>485</v>
      </c>
      <c r="B73" s="192" t="s">
        <v>409</v>
      </c>
      <c r="C73" s="192" t="s">
        <v>36</v>
      </c>
      <c r="D73" s="210">
        <f>SUM(D74:D79)</f>
        <v>2134</v>
      </c>
      <c r="E73" s="197"/>
    </row>
    <row r="74" spans="1:4" s="70" customFormat="1" ht="15" customHeight="1">
      <c r="A74" s="35" t="s">
        <v>114</v>
      </c>
      <c r="B74" s="43" t="s">
        <v>412</v>
      </c>
      <c r="C74" s="43" t="s">
        <v>73</v>
      </c>
      <c r="D74" s="188">
        <v>4</v>
      </c>
    </row>
    <row r="75" spans="1:4" s="70" customFormat="1" ht="15" customHeight="1">
      <c r="A75" s="35" t="s">
        <v>886</v>
      </c>
      <c r="B75" s="43" t="s">
        <v>412</v>
      </c>
      <c r="C75" s="43" t="s">
        <v>73</v>
      </c>
      <c r="D75" s="188">
        <f>2120-112.5</f>
        <v>2007.5</v>
      </c>
    </row>
    <row r="76" spans="1:4" s="70" customFormat="1" ht="15" customHeight="1">
      <c r="A76" s="35" t="s">
        <v>700</v>
      </c>
      <c r="B76" s="43" t="s">
        <v>176</v>
      </c>
      <c r="C76" s="43" t="s">
        <v>38</v>
      </c>
      <c r="D76" s="188">
        <v>10</v>
      </c>
    </row>
    <row r="77" spans="1:4" s="70" customFormat="1" ht="15" customHeight="1" hidden="1">
      <c r="A77" s="35" t="s">
        <v>339</v>
      </c>
      <c r="B77" s="43" t="s">
        <v>176</v>
      </c>
      <c r="C77" s="43" t="s">
        <v>692</v>
      </c>
      <c r="D77" s="188"/>
    </row>
    <row r="78" spans="1:4" s="70" customFormat="1" ht="30" customHeight="1">
      <c r="A78" s="35" t="s">
        <v>939</v>
      </c>
      <c r="B78" s="43" t="s">
        <v>412</v>
      </c>
      <c r="C78" s="43" t="s">
        <v>935</v>
      </c>
      <c r="D78" s="188">
        <f>25+87.5</f>
        <v>112.5</v>
      </c>
    </row>
    <row r="79" spans="1:4" s="70" customFormat="1" ht="15" customHeight="1" hidden="1">
      <c r="A79" s="35"/>
      <c r="B79" s="43" t="s">
        <v>412</v>
      </c>
      <c r="C79" s="43" t="s">
        <v>936</v>
      </c>
      <c r="D79" s="613"/>
    </row>
    <row r="80" spans="1:6" s="31" customFormat="1" ht="32.25" customHeight="1">
      <c r="A80" s="196" t="s">
        <v>479</v>
      </c>
      <c r="B80" s="192" t="s">
        <v>409</v>
      </c>
      <c r="C80" s="192" t="s">
        <v>89</v>
      </c>
      <c r="D80" s="210">
        <f>D81+D85+D86+D93+D96</f>
        <v>863</v>
      </c>
      <c r="E80" s="348"/>
      <c r="F80" s="216"/>
    </row>
    <row r="81" spans="1:5" s="70" customFormat="1" ht="15.75" customHeight="1">
      <c r="A81" s="35" t="s">
        <v>293</v>
      </c>
      <c r="B81" s="43" t="s">
        <v>176</v>
      </c>
      <c r="C81" s="43" t="s">
        <v>90</v>
      </c>
      <c r="D81" s="188">
        <f>150+156.8+130+145.22+26.98</f>
        <v>609</v>
      </c>
      <c r="E81" s="209"/>
    </row>
    <row r="82" spans="1:5" s="31" customFormat="1" ht="46.5" customHeight="1" hidden="1">
      <c r="A82" s="181" t="s">
        <v>129</v>
      </c>
      <c r="B82" s="43" t="s">
        <v>628</v>
      </c>
      <c r="C82" s="43" t="s">
        <v>758</v>
      </c>
      <c r="D82" s="217">
        <f>D83</f>
        <v>0</v>
      </c>
      <c r="E82" s="197"/>
    </row>
    <row r="83" spans="1:5" s="34" customFormat="1" ht="15" customHeight="1" hidden="1">
      <c r="A83" s="181" t="s">
        <v>325</v>
      </c>
      <c r="B83" s="43" t="s">
        <v>629</v>
      </c>
      <c r="C83" s="43" t="s">
        <v>759</v>
      </c>
      <c r="D83" s="217">
        <f>D84</f>
        <v>0</v>
      </c>
      <c r="E83" s="199"/>
    </row>
    <row r="84" spans="1:4" s="26" customFormat="1" ht="60.75" customHeight="1" hidden="1">
      <c r="A84" s="35" t="s">
        <v>294</v>
      </c>
      <c r="B84" s="43" t="s">
        <v>630</v>
      </c>
      <c r="C84" s="43" t="s">
        <v>760</v>
      </c>
      <c r="D84" s="188">
        <v>0</v>
      </c>
    </row>
    <row r="85" spans="1:4" s="26" customFormat="1" ht="30.75" customHeight="1">
      <c r="A85" s="35" t="s">
        <v>761</v>
      </c>
      <c r="B85" s="43" t="s">
        <v>176</v>
      </c>
      <c r="C85" s="43" t="s">
        <v>757</v>
      </c>
      <c r="D85" s="188">
        <f>375+212+40-373</f>
        <v>254</v>
      </c>
    </row>
    <row r="86" spans="1:4" s="26" customFormat="1" ht="27.75" customHeight="1" hidden="1">
      <c r="A86" s="228" t="s">
        <v>603</v>
      </c>
      <c r="B86" s="457" t="s">
        <v>176</v>
      </c>
      <c r="C86" s="458"/>
      <c r="D86" s="307">
        <f>SUM(D87:D92)</f>
        <v>0</v>
      </c>
    </row>
    <row r="87" spans="1:5" s="26" customFormat="1" ht="48" customHeight="1" hidden="1">
      <c r="A87" s="341" t="s">
        <v>631</v>
      </c>
      <c r="B87" s="189" t="s">
        <v>176</v>
      </c>
      <c r="C87" s="124" t="s">
        <v>604</v>
      </c>
      <c r="D87" s="334">
        <v>0</v>
      </c>
      <c r="E87" s="202"/>
    </row>
    <row r="88" spans="1:5" s="26" customFormat="1" ht="19.5" customHeight="1" hidden="1">
      <c r="A88" s="341" t="s">
        <v>721</v>
      </c>
      <c r="B88" s="189" t="s">
        <v>176</v>
      </c>
      <c r="C88" s="124" t="s">
        <v>604</v>
      </c>
      <c r="D88" s="334"/>
      <c r="E88" s="202"/>
    </row>
    <row r="89" spans="1:4" s="26" customFormat="1" ht="57.75" customHeight="1" hidden="1">
      <c r="A89" s="341" t="s">
        <v>721</v>
      </c>
      <c r="B89" s="189" t="s">
        <v>176</v>
      </c>
      <c r="C89" s="124" t="s">
        <v>606</v>
      </c>
      <c r="D89" s="334"/>
    </row>
    <row r="90" spans="1:4" s="26" customFormat="1" ht="18" customHeight="1" hidden="1">
      <c r="A90" s="341" t="s">
        <v>721</v>
      </c>
      <c r="B90" s="189" t="s">
        <v>412</v>
      </c>
      <c r="C90" s="124" t="s">
        <v>604</v>
      </c>
      <c r="D90" s="334"/>
    </row>
    <row r="91" spans="1:4" s="26" customFormat="1" ht="21" customHeight="1" hidden="1">
      <c r="A91" s="341" t="s">
        <v>722</v>
      </c>
      <c r="B91" s="189" t="s">
        <v>176</v>
      </c>
      <c r="C91" s="124" t="s">
        <v>606</v>
      </c>
      <c r="D91" s="334">
        <f>86+40-40-86</f>
        <v>0</v>
      </c>
    </row>
    <row r="92" spans="1:4" s="26" customFormat="1" ht="18" customHeight="1" hidden="1">
      <c r="A92" s="35" t="s">
        <v>722</v>
      </c>
      <c r="B92" s="43" t="s">
        <v>628</v>
      </c>
      <c r="C92" s="66" t="s">
        <v>606</v>
      </c>
      <c r="D92" s="188"/>
    </row>
    <row r="93" spans="1:4" s="26" customFormat="1" ht="28.5" customHeight="1" hidden="1">
      <c r="A93" s="176" t="s">
        <v>720</v>
      </c>
      <c r="B93" s="43" t="s">
        <v>629</v>
      </c>
      <c r="C93" s="66"/>
      <c r="D93" s="201">
        <f>D94+D95</f>
        <v>0</v>
      </c>
    </row>
    <row r="94" spans="1:4" s="26" customFormat="1" ht="17.25" customHeight="1" hidden="1">
      <c r="A94" s="35" t="s">
        <v>750</v>
      </c>
      <c r="B94" s="43" t="s">
        <v>630</v>
      </c>
      <c r="C94" s="66" t="s">
        <v>723</v>
      </c>
      <c r="D94" s="188"/>
    </row>
    <row r="95" spans="1:4" s="26" customFormat="1" ht="17.25" customHeight="1" hidden="1">
      <c r="A95" s="35" t="s">
        <v>751</v>
      </c>
      <c r="B95" s="43" t="s">
        <v>811</v>
      </c>
      <c r="C95" s="66" t="s">
        <v>724</v>
      </c>
      <c r="D95" s="188"/>
    </row>
    <row r="96" spans="1:4" s="26" customFormat="1" ht="30" customHeight="1" hidden="1">
      <c r="A96" s="176" t="s">
        <v>762</v>
      </c>
      <c r="B96" s="43" t="s">
        <v>812</v>
      </c>
      <c r="C96" s="174"/>
      <c r="D96" s="201">
        <f>D97+D98</f>
        <v>0</v>
      </c>
    </row>
    <row r="97" spans="1:4" s="26" customFormat="1" ht="43.5" customHeight="1" hidden="1">
      <c r="A97" s="35" t="s">
        <v>767</v>
      </c>
      <c r="B97" s="43" t="s">
        <v>813</v>
      </c>
      <c r="C97" s="66" t="s">
        <v>763</v>
      </c>
      <c r="D97" s="188"/>
    </row>
    <row r="98" spans="1:4" s="26" customFormat="1" ht="57.75" customHeight="1" hidden="1">
      <c r="A98" s="35" t="s">
        <v>765</v>
      </c>
      <c r="B98" s="43" t="s">
        <v>814</v>
      </c>
      <c r="C98" s="66" t="s">
        <v>766</v>
      </c>
      <c r="D98" s="188"/>
    </row>
    <row r="99" spans="1:5" s="32" customFormat="1" ht="35.25" customHeight="1">
      <c r="A99" s="354" t="s">
        <v>846</v>
      </c>
      <c r="B99" s="355" t="s">
        <v>409</v>
      </c>
      <c r="C99" s="355" t="s">
        <v>85</v>
      </c>
      <c r="D99" s="210">
        <f>D100</f>
        <v>200</v>
      </c>
      <c r="E99" s="197"/>
    </row>
    <row r="100" spans="1:5" s="72" customFormat="1" ht="28.5" customHeight="1">
      <c r="A100" s="35" t="s">
        <v>204</v>
      </c>
      <c r="B100" s="43" t="s">
        <v>176</v>
      </c>
      <c r="C100" s="43" t="s">
        <v>86</v>
      </c>
      <c r="D100" s="188">
        <v>200</v>
      </c>
      <c r="E100" s="203"/>
    </row>
    <row r="101" spans="1:6" s="40" customFormat="1" ht="32.25" customHeight="1">
      <c r="A101" s="354" t="s">
        <v>486</v>
      </c>
      <c r="B101" s="355" t="s">
        <v>409</v>
      </c>
      <c r="C101" s="356" t="s">
        <v>74</v>
      </c>
      <c r="D101" s="210">
        <f>D102+D113+D119+D124</f>
        <v>16708.76968</v>
      </c>
      <c r="E101" s="194"/>
      <c r="F101" s="85"/>
    </row>
    <row r="102" spans="1:5" s="70" customFormat="1" ht="37.5" customHeight="1">
      <c r="A102" s="176" t="s">
        <v>537</v>
      </c>
      <c r="B102" s="43" t="s">
        <v>176</v>
      </c>
      <c r="C102" s="174" t="s">
        <v>76</v>
      </c>
      <c r="D102" s="201">
        <f>D104+D105+D106+D109+D110</f>
        <v>11549.559490000001</v>
      </c>
      <c r="E102" s="86"/>
    </row>
    <row r="103" spans="1:4" s="70" customFormat="1" ht="15" customHeight="1" hidden="1">
      <c r="A103" s="35" t="s">
        <v>218</v>
      </c>
      <c r="B103" s="43" t="s">
        <v>815</v>
      </c>
      <c r="C103" s="66" t="s">
        <v>219</v>
      </c>
      <c r="D103" s="188"/>
    </row>
    <row r="104" spans="1:5" s="70" customFormat="1" ht="15" customHeight="1">
      <c r="A104" s="35" t="s">
        <v>542</v>
      </c>
      <c r="B104" s="43" t="s">
        <v>176</v>
      </c>
      <c r="C104" s="66" t="s">
        <v>77</v>
      </c>
      <c r="D104" s="188">
        <f>5802.65+100+72.86+25+150-0.0202+1755.1</f>
        <v>7905.5898</v>
      </c>
      <c r="E104" s="209"/>
    </row>
    <row r="105" spans="1:4" s="70" customFormat="1" ht="27" customHeight="1">
      <c r="A105" s="35" t="s">
        <v>115</v>
      </c>
      <c r="B105" s="43" t="s">
        <v>176</v>
      </c>
      <c r="C105" s="66" t="s">
        <v>95</v>
      </c>
      <c r="D105" s="188">
        <v>1620</v>
      </c>
    </row>
    <row r="106" spans="1:5" s="70" customFormat="1" ht="33.75" customHeight="1">
      <c r="A106" s="110" t="s">
        <v>588</v>
      </c>
      <c r="B106" s="175" t="s">
        <v>176</v>
      </c>
      <c r="C106" s="115" t="s">
        <v>632</v>
      </c>
      <c r="D106" s="218">
        <f>D107+D108</f>
        <v>1821.94949</v>
      </c>
      <c r="E106" s="209"/>
    </row>
    <row r="107" spans="1:5" s="70" customFormat="1" ht="42.75" customHeight="1">
      <c r="A107" s="35" t="s">
        <v>589</v>
      </c>
      <c r="B107" s="43" t="s">
        <v>176</v>
      </c>
      <c r="C107" s="66" t="s">
        <v>590</v>
      </c>
      <c r="D107" s="188">
        <v>1803.73</v>
      </c>
      <c r="E107" s="208"/>
    </row>
    <row r="108" spans="1:5" s="70" customFormat="1" ht="64.5" customHeight="1">
      <c r="A108" s="35" t="s">
        <v>633</v>
      </c>
      <c r="B108" s="43" t="s">
        <v>176</v>
      </c>
      <c r="C108" s="66" t="s">
        <v>591</v>
      </c>
      <c r="D108" s="188">
        <f>18.21949+2-2</f>
        <v>18.21949</v>
      </c>
      <c r="E108" s="209"/>
    </row>
    <row r="109" spans="1:5" s="70" customFormat="1" ht="57" customHeight="1" hidden="1">
      <c r="A109" s="35" t="s">
        <v>781</v>
      </c>
      <c r="B109" s="43" t="s">
        <v>176</v>
      </c>
      <c r="C109" s="66" t="s">
        <v>810</v>
      </c>
      <c r="D109" s="188">
        <f>25-25</f>
        <v>0</v>
      </c>
      <c r="E109" s="209"/>
    </row>
    <row r="110" spans="1:5" s="70" customFormat="1" ht="31.5" customHeight="1">
      <c r="A110" s="110" t="s">
        <v>918</v>
      </c>
      <c r="B110" s="175" t="s">
        <v>176</v>
      </c>
      <c r="C110" s="115" t="s">
        <v>75</v>
      </c>
      <c r="D110" s="218">
        <f>D111+D112</f>
        <v>202.0202</v>
      </c>
      <c r="E110" s="209"/>
    </row>
    <row r="111" spans="1:5" s="70" customFormat="1" ht="32.25" customHeight="1">
      <c r="A111" s="35" t="s">
        <v>919</v>
      </c>
      <c r="B111" s="43" t="s">
        <v>176</v>
      </c>
      <c r="C111" s="66" t="s">
        <v>921</v>
      </c>
      <c r="D111" s="188">
        <v>200</v>
      </c>
      <c r="E111" s="209"/>
    </row>
    <row r="112" spans="1:5" s="70" customFormat="1" ht="45.75" customHeight="1">
      <c r="A112" s="35" t="s">
        <v>920</v>
      </c>
      <c r="B112" s="43" t="s">
        <v>176</v>
      </c>
      <c r="C112" s="66" t="s">
        <v>922</v>
      </c>
      <c r="D112" s="188">
        <v>2.0202</v>
      </c>
      <c r="E112" s="209"/>
    </row>
    <row r="113" spans="1:4" s="70" customFormat="1" ht="44.25" customHeight="1">
      <c r="A113" s="176" t="s">
        <v>538</v>
      </c>
      <c r="B113" s="200" t="s">
        <v>176</v>
      </c>
      <c r="C113" s="174" t="s">
        <v>78</v>
      </c>
      <c r="D113" s="201">
        <f>D115+D116</f>
        <v>2716.97019</v>
      </c>
    </row>
    <row r="114" spans="1:4" s="70" customFormat="1" ht="15" customHeight="1" hidden="1">
      <c r="A114" s="35" t="s">
        <v>221</v>
      </c>
      <c r="B114" s="43" t="s">
        <v>816</v>
      </c>
      <c r="C114" s="66" t="s">
        <v>222</v>
      </c>
      <c r="D114" s="188"/>
    </row>
    <row r="115" spans="1:4" s="70" customFormat="1" ht="15" customHeight="1">
      <c r="A115" s="35" t="s">
        <v>212</v>
      </c>
      <c r="B115" s="43" t="s">
        <v>176</v>
      </c>
      <c r="C115" s="66" t="s">
        <v>78</v>
      </c>
      <c r="D115" s="188">
        <f>1566.14+610.1+67+245</f>
        <v>2488.2400000000002</v>
      </c>
    </row>
    <row r="116" spans="1:5" s="70" customFormat="1" ht="30" customHeight="1">
      <c r="A116" s="110" t="s">
        <v>592</v>
      </c>
      <c r="B116" s="175" t="s">
        <v>176</v>
      </c>
      <c r="C116" s="115" t="s">
        <v>593</v>
      </c>
      <c r="D116" s="218">
        <f>D117+D118</f>
        <v>228.73019</v>
      </c>
      <c r="E116" s="209"/>
    </row>
    <row r="117" spans="1:5" s="70" customFormat="1" ht="44.25" customHeight="1">
      <c r="A117" s="35" t="s">
        <v>634</v>
      </c>
      <c r="B117" s="43" t="s">
        <v>817</v>
      </c>
      <c r="C117" s="66" t="s">
        <v>594</v>
      </c>
      <c r="D117" s="188">
        <v>226.44289</v>
      </c>
      <c r="E117" s="208"/>
    </row>
    <row r="118" spans="1:5" s="70" customFormat="1" ht="54" customHeight="1">
      <c r="A118" s="35" t="s">
        <v>635</v>
      </c>
      <c r="B118" s="43" t="s">
        <v>176</v>
      </c>
      <c r="C118" s="66" t="s">
        <v>595</v>
      </c>
      <c r="D118" s="188">
        <v>2.2873</v>
      </c>
      <c r="E118" s="209"/>
    </row>
    <row r="119" spans="1:4" s="70" customFormat="1" ht="54.75" customHeight="1">
      <c r="A119" s="176" t="s">
        <v>539</v>
      </c>
      <c r="B119" s="200" t="s">
        <v>176</v>
      </c>
      <c r="C119" s="174" t="s">
        <v>79</v>
      </c>
      <c r="D119" s="201">
        <f>D120</f>
        <v>1424.3300000000002</v>
      </c>
    </row>
    <row r="120" spans="1:4" s="70" customFormat="1" ht="16.5" customHeight="1">
      <c r="A120" s="35" t="s">
        <v>212</v>
      </c>
      <c r="B120" s="43" t="s">
        <v>176</v>
      </c>
      <c r="C120" s="66" t="s">
        <v>79</v>
      </c>
      <c r="D120" s="188">
        <f>1181.43+25+217.9</f>
        <v>1424.3300000000002</v>
      </c>
    </row>
    <row r="121" spans="1:5" s="48" customFormat="1" ht="42" customHeight="1" hidden="1">
      <c r="A121" s="176" t="s">
        <v>607</v>
      </c>
      <c r="B121" s="43" t="s">
        <v>818</v>
      </c>
      <c r="C121" s="200"/>
      <c r="D121" s="201">
        <f>D122+D123</f>
        <v>0</v>
      </c>
      <c r="E121" s="69"/>
    </row>
    <row r="122" spans="1:5" s="48" customFormat="1" ht="44.25" customHeight="1" hidden="1">
      <c r="A122" s="35" t="s">
        <v>658</v>
      </c>
      <c r="B122" s="43" t="s">
        <v>819</v>
      </c>
      <c r="C122" s="43" t="s">
        <v>730</v>
      </c>
      <c r="D122" s="188"/>
      <c r="E122" s="69"/>
    </row>
    <row r="123" spans="1:5" s="48" customFormat="1" ht="54" customHeight="1" hidden="1">
      <c r="A123" s="35" t="s">
        <v>659</v>
      </c>
      <c r="B123" s="43" t="s">
        <v>820</v>
      </c>
      <c r="C123" s="43" t="s">
        <v>731</v>
      </c>
      <c r="D123" s="188"/>
      <c r="E123" s="69"/>
    </row>
    <row r="124" spans="1:5" s="70" customFormat="1" ht="21" customHeight="1">
      <c r="A124" s="176" t="s">
        <v>544</v>
      </c>
      <c r="B124" s="200" t="s">
        <v>176</v>
      </c>
      <c r="C124" s="174" t="s">
        <v>74</v>
      </c>
      <c r="D124" s="201">
        <f>D125+D138</f>
        <v>1017.91</v>
      </c>
      <c r="E124" s="209"/>
    </row>
    <row r="125" spans="1:4" s="70" customFormat="1" ht="30.75" customHeight="1">
      <c r="A125" s="35" t="s">
        <v>543</v>
      </c>
      <c r="B125" s="43" t="s">
        <v>176</v>
      </c>
      <c r="C125" s="66" t="s">
        <v>80</v>
      </c>
      <c r="D125" s="188">
        <f>897.91+20+100</f>
        <v>1017.91</v>
      </c>
    </row>
    <row r="126" spans="1:5" s="34" customFormat="1" ht="29.25" customHeight="1" hidden="1">
      <c r="A126" s="181" t="s">
        <v>426</v>
      </c>
      <c r="B126" s="43" t="s">
        <v>821</v>
      </c>
      <c r="C126" s="182" t="s">
        <v>215</v>
      </c>
      <c r="D126" s="217"/>
      <c r="E126" s="199"/>
    </row>
    <row r="127" spans="1:4" s="26" customFormat="1" ht="18" customHeight="1" hidden="1">
      <c r="A127" s="35" t="s">
        <v>217</v>
      </c>
      <c r="B127" s="43" t="s">
        <v>822</v>
      </c>
      <c r="C127" s="66" t="s">
        <v>216</v>
      </c>
      <c r="D127" s="188"/>
    </row>
    <row r="128" spans="1:4" s="26" customFormat="1" ht="16.5" customHeight="1" hidden="1">
      <c r="A128" s="35" t="s">
        <v>218</v>
      </c>
      <c r="B128" s="43" t="s">
        <v>823</v>
      </c>
      <c r="C128" s="66" t="s">
        <v>219</v>
      </c>
      <c r="D128" s="188"/>
    </row>
    <row r="129" spans="1:4" s="26" customFormat="1" ht="18.75" customHeight="1" hidden="1">
      <c r="A129" s="35" t="s">
        <v>212</v>
      </c>
      <c r="B129" s="43" t="s">
        <v>824</v>
      </c>
      <c r="C129" s="66" t="s">
        <v>220</v>
      </c>
      <c r="D129" s="188"/>
    </row>
    <row r="130" spans="1:4" s="26" customFormat="1" ht="15" customHeight="1" hidden="1">
      <c r="A130" s="35" t="s">
        <v>223</v>
      </c>
      <c r="B130" s="43" t="s">
        <v>825</v>
      </c>
      <c r="C130" s="66" t="s">
        <v>224</v>
      </c>
      <c r="D130" s="188"/>
    </row>
    <row r="131" spans="1:4" s="26" customFormat="1" ht="13.5" customHeight="1" hidden="1">
      <c r="A131" s="35" t="s">
        <v>225</v>
      </c>
      <c r="B131" s="43" t="s">
        <v>826</v>
      </c>
      <c r="C131" s="66" t="s">
        <v>226</v>
      </c>
      <c r="D131" s="188"/>
    </row>
    <row r="132" spans="1:4" s="26" customFormat="1" ht="16.5" customHeight="1" hidden="1">
      <c r="A132" s="35" t="s">
        <v>212</v>
      </c>
      <c r="B132" s="43" t="s">
        <v>827</v>
      </c>
      <c r="C132" s="66" t="s">
        <v>227</v>
      </c>
      <c r="D132" s="188"/>
    </row>
    <row r="133" spans="1:4" s="26" customFormat="1" ht="0.75" customHeight="1" hidden="1">
      <c r="A133" s="84" t="s">
        <v>9</v>
      </c>
      <c r="B133" s="43" t="s">
        <v>828</v>
      </c>
      <c r="C133" s="66" t="s">
        <v>8</v>
      </c>
      <c r="D133" s="188"/>
    </row>
    <row r="134" spans="1:4" s="26" customFormat="1" ht="25.5" customHeight="1" hidden="1">
      <c r="A134" s="181" t="s">
        <v>325</v>
      </c>
      <c r="B134" s="43" t="s">
        <v>829</v>
      </c>
      <c r="C134" s="66" t="s">
        <v>8</v>
      </c>
      <c r="D134" s="188"/>
    </row>
    <row r="135" spans="1:4" s="26" customFormat="1" ht="54.75" customHeight="1" hidden="1">
      <c r="A135" s="181" t="s">
        <v>136</v>
      </c>
      <c r="B135" s="43" t="s">
        <v>830</v>
      </c>
      <c r="C135" s="66" t="s">
        <v>323</v>
      </c>
      <c r="D135" s="188"/>
    </row>
    <row r="136" spans="1:4" s="26" customFormat="1" ht="16.5" customHeight="1" hidden="1">
      <c r="A136" s="181" t="s">
        <v>325</v>
      </c>
      <c r="B136" s="43" t="s">
        <v>831</v>
      </c>
      <c r="C136" s="66" t="s">
        <v>323</v>
      </c>
      <c r="D136" s="188"/>
    </row>
    <row r="137" spans="1:4" s="26" customFormat="1" ht="16.5" customHeight="1" hidden="1">
      <c r="A137" s="181" t="s">
        <v>342</v>
      </c>
      <c r="B137" s="43" t="s">
        <v>832</v>
      </c>
      <c r="C137" s="66" t="s">
        <v>8</v>
      </c>
      <c r="D137" s="188"/>
    </row>
    <row r="138" spans="1:4" s="26" customFormat="1" ht="45.75" customHeight="1" hidden="1">
      <c r="A138" s="35" t="s">
        <v>541</v>
      </c>
      <c r="B138" s="43" t="s">
        <v>833</v>
      </c>
      <c r="C138" s="66" t="s">
        <v>503</v>
      </c>
      <c r="D138" s="188">
        <v>0</v>
      </c>
    </row>
    <row r="139" spans="1:4" s="26" customFormat="1" ht="33" customHeight="1" hidden="1">
      <c r="A139" s="191" t="s">
        <v>434</v>
      </c>
      <c r="B139" s="43" t="s">
        <v>834</v>
      </c>
      <c r="C139" s="204" t="s">
        <v>39</v>
      </c>
      <c r="D139" s="210">
        <f>D140+D141+D142</f>
        <v>0</v>
      </c>
    </row>
    <row r="140" spans="1:4" s="70" customFormat="1" ht="17.25" customHeight="1" hidden="1">
      <c r="A140" s="35" t="s">
        <v>116</v>
      </c>
      <c r="B140" s="43" t="s">
        <v>835</v>
      </c>
      <c r="C140" s="66" t="s">
        <v>531</v>
      </c>
      <c r="D140" s="188">
        <v>0</v>
      </c>
    </row>
    <row r="141" spans="1:4" s="70" customFormat="1" ht="19.5" customHeight="1" hidden="1">
      <c r="A141" s="35" t="s">
        <v>533</v>
      </c>
      <c r="B141" s="43" t="s">
        <v>836</v>
      </c>
      <c r="C141" s="66" t="s">
        <v>532</v>
      </c>
      <c r="D141" s="188"/>
    </row>
    <row r="142" spans="1:4" s="70" customFormat="1" ht="33" customHeight="1" hidden="1">
      <c r="A142" s="35" t="s">
        <v>509</v>
      </c>
      <c r="B142" s="43" t="s">
        <v>837</v>
      </c>
      <c r="C142" s="124" t="s">
        <v>500</v>
      </c>
      <c r="D142" s="188"/>
    </row>
    <row r="143" spans="1:4" s="70" customFormat="1" ht="45" customHeight="1" hidden="1">
      <c r="A143" s="191" t="s">
        <v>481</v>
      </c>
      <c r="B143" s="43" t="s">
        <v>838</v>
      </c>
      <c r="C143" s="192" t="s">
        <v>469</v>
      </c>
      <c r="D143" s="210">
        <f>D144</f>
        <v>0</v>
      </c>
    </row>
    <row r="144" spans="1:4" s="70" customFormat="1" ht="30" customHeight="1" hidden="1">
      <c r="A144" s="35" t="s">
        <v>712</v>
      </c>
      <c r="B144" s="43" t="s">
        <v>839</v>
      </c>
      <c r="C144" s="66" t="s">
        <v>470</v>
      </c>
      <c r="D144" s="188">
        <v>0</v>
      </c>
    </row>
    <row r="145" spans="1:5" s="70" customFormat="1" ht="62.25" customHeight="1">
      <c r="A145" s="354" t="s">
        <v>495</v>
      </c>
      <c r="B145" s="355" t="s">
        <v>409</v>
      </c>
      <c r="C145" s="355" t="s">
        <v>471</v>
      </c>
      <c r="D145" s="210">
        <f>SUM(D146:D154)</f>
        <v>29246.48429</v>
      </c>
      <c r="E145" s="90"/>
    </row>
    <row r="146" spans="1:5" s="70" customFormat="1" ht="30.75" customHeight="1">
      <c r="A146" s="35" t="s">
        <v>41</v>
      </c>
      <c r="B146" s="43" t="s">
        <v>176</v>
      </c>
      <c r="C146" s="66" t="s">
        <v>492</v>
      </c>
      <c r="D146" s="188">
        <f>2300-3.825</f>
        <v>2296.175</v>
      </c>
      <c r="E146" s="90"/>
    </row>
    <row r="147" spans="1:5" s="70" customFormat="1" ht="15.75" customHeight="1" hidden="1">
      <c r="A147" s="35" t="s">
        <v>41</v>
      </c>
      <c r="B147" s="43" t="s">
        <v>840</v>
      </c>
      <c r="C147" s="66" t="s">
        <v>494</v>
      </c>
      <c r="D147" s="188">
        <v>0</v>
      </c>
      <c r="E147" s="90"/>
    </row>
    <row r="148" spans="1:5" s="70" customFormat="1" ht="42.75" customHeight="1">
      <c r="A148" s="35" t="s">
        <v>897</v>
      </c>
      <c r="B148" s="43" t="s">
        <v>176</v>
      </c>
      <c r="C148" s="66" t="s">
        <v>492</v>
      </c>
      <c r="D148" s="188">
        <v>3.825</v>
      </c>
      <c r="E148" s="90"/>
    </row>
    <row r="149" spans="1:5" s="70" customFormat="1" ht="18" customHeight="1">
      <c r="A149" s="35" t="s">
        <v>382</v>
      </c>
      <c r="B149" s="43" t="s">
        <v>176</v>
      </c>
      <c r="C149" s="66" t="s">
        <v>494</v>
      </c>
      <c r="D149" s="188">
        <f>5217-30.30303+9986.48429+161.18502-282-562.18502</f>
        <v>14490.181260000001</v>
      </c>
      <c r="E149" s="90"/>
    </row>
    <row r="150" spans="1:5" s="70" customFormat="1" ht="18" customHeight="1">
      <c r="A150" s="84" t="s">
        <v>302</v>
      </c>
      <c r="B150" s="43" t="s">
        <v>176</v>
      </c>
      <c r="C150" s="66" t="s">
        <v>493</v>
      </c>
      <c r="D150" s="188">
        <f>9542-161.18502-517+562.18502</f>
        <v>9426</v>
      </c>
      <c r="E150" s="90"/>
    </row>
    <row r="151" spans="1:5" s="70" customFormat="1" ht="45.75" customHeight="1" hidden="1">
      <c r="A151" s="84" t="s">
        <v>513</v>
      </c>
      <c r="B151" s="43" t="s">
        <v>841</v>
      </c>
      <c r="C151" s="66" t="s">
        <v>514</v>
      </c>
      <c r="D151" s="188"/>
      <c r="E151" s="90"/>
    </row>
    <row r="152" spans="1:5" s="70" customFormat="1" ht="45.75" customHeight="1" hidden="1">
      <c r="A152" s="84" t="s">
        <v>517</v>
      </c>
      <c r="B152" s="43" t="s">
        <v>842</v>
      </c>
      <c r="C152" s="66" t="s">
        <v>518</v>
      </c>
      <c r="D152" s="188"/>
      <c r="E152" s="90"/>
    </row>
    <row r="153" spans="1:5" s="70" customFormat="1" ht="30.75" customHeight="1">
      <c r="A153" s="84" t="s">
        <v>748</v>
      </c>
      <c r="B153" s="43" t="s">
        <v>176</v>
      </c>
      <c r="C153" s="66" t="s">
        <v>719</v>
      </c>
      <c r="D153" s="188">
        <v>3000</v>
      </c>
      <c r="E153" s="90"/>
    </row>
    <row r="154" spans="1:5" s="70" customFormat="1" ht="42.75" customHeight="1">
      <c r="A154" s="84" t="s">
        <v>749</v>
      </c>
      <c r="B154" s="43" t="s">
        <v>176</v>
      </c>
      <c r="C154" s="66" t="s">
        <v>744</v>
      </c>
      <c r="D154" s="188">
        <v>30.30303</v>
      </c>
      <c r="E154" s="90"/>
    </row>
    <row r="155" spans="1:5" s="70" customFormat="1" ht="45.75" customHeight="1">
      <c r="A155" s="191" t="s">
        <v>636</v>
      </c>
      <c r="B155" s="355" t="s">
        <v>409</v>
      </c>
      <c r="C155" s="192" t="s">
        <v>527</v>
      </c>
      <c r="D155" s="210">
        <f>SUM(D156:D159)</f>
        <v>1215</v>
      </c>
      <c r="E155" s="90"/>
    </row>
    <row r="156" spans="1:5" s="70" customFormat="1" ht="17.25" customHeight="1">
      <c r="A156" s="35" t="s">
        <v>884</v>
      </c>
      <c r="B156" s="43" t="s">
        <v>412</v>
      </c>
      <c r="C156" s="66" t="s">
        <v>528</v>
      </c>
      <c r="D156" s="188">
        <f>1215-61.8-50-158</f>
        <v>945.2</v>
      </c>
      <c r="E156" s="494"/>
    </row>
    <row r="157" spans="1:5" s="70" customFormat="1" ht="16.5" customHeight="1">
      <c r="A157" s="35" t="s">
        <v>883</v>
      </c>
      <c r="B157" s="43" t="s">
        <v>176</v>
      </c>
      <c r="C157" s="66" t="s">
        <v>667</v>
      </c>
      <c r="D157" s="188">
        <f>31.6+50</f>
        <v>81.6</v>
      </c>
      <c r="E157" s="494"/>
    </row>
    <row r="158" spans="1:5" s="70" customFormat="1" ht="16.5" customHeight="1">
      <c r="A158" s="35" t="s">
        <v>885</v>
      </c>
      <c r="B158" s="43" t="s">
        <v>176</v>
      </c>
      <c r="C158" s="66" t="s">
        <v>882</v>
      </c>
      <c r="D158" s="188">
        <v>30.2</v>
      </c>
      <c r="E158" s="494"/>
    </row>
    <row r="159" spans="1:5" s="70" customFormat="1" ht="16.5" customHeight="1">
      <c r="A159" s="35" t="s">
        <v>891</v>
      </c>
      <c r="B159" s="43" t="s">
        <v>412</v>
      </c>
      <c r="C159" s="66" t="s">
        <v>892</v>
      </c>
      <c r="D159" s="188">
        <v>158</v>
      </c>
      <c r="E159" s="494"/>
    </row>
    <row r="160" spans="1:5" s="70" customFormat="1" ht="45.75" customHeight="1">
      <c r="A160" s="191" t="s">
        <v>548</v>
      </c>
      <c r="B160" s="355" t="s">
        <v>409</v>
      </c>
      <c r="C160" s="192" t="s">
        <v>530</v>
      </c>
      <c r="D160" s="210">
        <f>SUM(D161:D166)</f>
        <v>21689.051</v>
      </c>
      <c r="E160" s="90"/>
    </row>
    <row r="161" spans="1:5" s="70" customFormat="1" ht="33" customHeight="1" hidden="1">
      <c r="A161" s="42" t="s">
        <v>534</v>
      </c>
      <c r="B161" s="43" t="s">
        <v>843</v>
      </c>
      <c r="C161" s="66" t="s">
        <v>526</v>
      </c>
      <c r="D161" s="188">
        <v>0</v>
      </c>
      <c r="E161" s="90"/>
    </row>
    <row r="162" spans="1:5" s="70" customFormat="1" ht="15" customHeight="1">
      <c r="A162" s="84" t="s">
        <v>236</v>
      </c>
      <c r="B162" s="43" t="s">
        <v>176</v>
      </c>
      <c r="C162" s="66" t="s">
        <v>525</v>
      </c>
      <c r="D162" s="188">
        <v>1090</v>
      </c>
      <c r="E162" s="90"/>
    </row>
    <row r="163" spans="1:5" s="70" customFormat="1" ht="57.75" customHeight="1">
      <c r="A163" s="84" t="s">
        <v>536</v>
      </c>
      <c r="B163" s="43" t="s">
        <v>413</v>
      </c>
      <c r="C163" s="66" t="s">
        <v>522</v>
      </c>
      <c r="D163" s="188">
        <v>11291.076</v>
      </c>
      <c r="E163" s="90"/>
    </row>
    <row r="164" spans="1:5" s="70" customFormat="1" ht="31.5" customHeight="1">
      <c r="A164" s="84" t="s">
        <v>313</v>
      </c>
      <c r="B164" s="43" t="s">
        <v>413</v>
      </c>
      <c r="C164" s="66" t="s">
        <v>523</v>
      </c>
      <c r="D164" s="188">
        <f>8375.417+212.558</f>
        <v>8587.974999999999</v>
      </c>
      <c r="E164" s="90"/>
    </row>
    <row r="165" spans="1:5" s="70" customFormat="1" ht="29.25" customHeight="1">
      <c r="A165" s="84" t="s">
        <v>660</v>
      </c>
      <c r="B165" s="43" t="s">
        <v>413</v>
      </c>
      <c r="C165" s="66" t="s">
        <v>524</v>
      </c>
      <c r="D165" s="188">
        <f>450+170+100</f>
        <v>720</v>
      </c>
      <c r="E165" s="90"/>
    </row>
    <row r="166" spans="1:5" s="70" customFormat="1" ht="42.75" customHeight="1" hidden="1">
      <c r="A166" s="84" t="s">
        <v>693</v>
      </c>
      <c r="B166" s="43" t="s">
        <v>844</v>
      </c>
      <c r="C166" s="66" t="s">
        <v>733</v>
      </c>
      <c r="D166" s="188"/>
      <c r="E166" s="90"/>
    </row>
    <row r="167" spans="1:5" s="70" customFormat="1" ht="33.75" customHeight="1">
      <c r="A167" s="370" t="s">
        <v>847</v>
      </c>
      <c r="B167" s="355" t="s">
        <v>409</v>
      </c>
      <c r="C167" s="351" t="s">
        <v>562</v>
      </c>
      <c r="D167" s="352">
        <f>D168</f>
        <v>15</v>
      </c>
      <c r="E167" s="90"/>
    </row>
    <row r="168" spans="1:5" s="70" customFormat="1" ht="28.5" customHeight="1">
      <c r="A168" s="236" t="s">
        <v>563</v>
      </c>
      <c r="B168" s="43" t="s">
        <v>176</v>
      </c>
      <c r="C168" s="82" t="s">
        <v>564</v>
      </c>
      <c r="D168" s="272">
        <f>D169</f>
        <v>15</v>
      </c>
      <c r="E168" s="90"/>
    </row>
    <row r="169" spans="1:5" s="70" customFormat="1" ht="16.5" customHeight="1">
      <c r="A169" s="236" t="s">
        <v>617</v>
      </c>
      <c r="B169" s="43" t="s">
        <v>176</v>
      </c>
      <c r="C169" s="82" t="s">
        <v>566</v>
      </c>
      <c r="D169" s="188">
        <v>15</v>
      </c>
      <c r="E169" s="90"/>
    </row>
    <row r="170" spans="1:5" s="70" customFormat="1" ht="44.25" customHeight="1">
      <c r="A170" s="191" t="s">
        <v>572</v>
      </c>
      <c r="B170" s="355" t="s">
        <v>409</v>
      </c>
      <c r="C170" s="192" t="s">
        <v>573</v>
      </c>
      <c r="D170" s="210">
        <f>D171+D172</f>
        <v>2803.93102</v>
      </c>
      <c r="E170" s="90"/>
    </row>
    <row r="171" spans="1:5" s="70" customFormat="1" ht="31.5" customHeight="1">
      <c r="A171" s="84" t="s">
        <v>637</v>
      </c>
      <c r="B171" s="43" t="s">
        <v>845</v>
      </c>
      <c r="C171" s="66" t="s">
        <v>575</v>
      </c>
      <c r="D171" s="188">
        <f>1382.48629+1391.44473</f>
        <v>2773.93102</v>
      </c>
      <c r="E171" s="90"/>
    </row>
    <row r="172" spans="1:5" s="70" customFormat="1" ht="29.25" customHeight="1">
      <c r="A172" s="84" t="s">
        <v>638</v>
      </c>
      <c r="B172" s="43" t="s">
        <v>176</v>
      </c>
      <c r="C172" s="66" t="s">
        <v>743</v>
      </c>
      <c r="D172" s="188">
        <f>20+10</f>
        <v>30</v>
      </c>
      <c r="E172" s="90"/>
    </row>
    <row r="173" spans="1:5" s="70" customFormat="1" ht="73.5" customHeight="1">
      <c r="A173" s="191" t="s">
        <v>875</v>
      </c>
      <c r="B173" s="355" t="s">
        <v>409</v>
      </c>
      <c r="C173" s="192" t="s">
        <v>799</v>
      </c>
      <c r="D173" s="210">
        <f>SUM(D174:D176)</f>
        <v>34659.278</v>
      </c>
      <c r="E173" s="90"/>
    </row>
    <row r="174" spans="1:5" s="70" customFormat="1" ht="31.5" customHeight="1">
      <c r="A174" s="84" t="s">
        <v>801</v>
      </c>
      <c r="B174" s="43" t="s">
        <v>176</v>
      </c>
      <c r="C174" s="66" t="s">
        <v>803</v>
      </c>
      <c r="D174" s="188">
        <f>14799.63122-1788.71266</f>
        <v>13010.91856</v>
      </c>
      <c r="E174" s="90"/>
    </row>
    <row r="175" spans="1:5" s="70" customFormat="1" ht="33" customHeight="1">
      <c r="A175" s="84" t="s">
        <v>802</v>
      </c>
      <c r="B175" s="43" t="s">
        <v>176</v>
      </c>
      <c r="C175" s="66" t="s">
        <v>804</v>
      </c>
      <c r="D175" s="188">
        <v>530.28251</v>
      </c>
      <c r="E175" s="90"/>
    </row>
    <row r="176" spans="1:7" s="70" customFormat="1" ht="44.25" customHeight="1">
      <c r="A176" s="84" t="s">
        <v>800</v>
      </c>
      <c r="B176" s="43" t="s">
        <v>176</v>
      </c>
      <c r="C176" s="66" t="s">
        <v>805</v>
      </c>
      <c r="D176" s="188">
        <v>21118.07693</v>
      </c>
      <c r="E176" s="209"/>
      <c r="F176" s="209"/>
      <c r="G176" s="209"/>
    </row>
    <row r="177" spans="1:5" s="64" customFormat="1" ht="18" customHeight="1">
      <c r="A177" s="495" t="s">
        <v>99</v>
      </c>
      <c r="B177" s="496"/>
      <c r="C177" s="497"/>
      <c r="D177" s="211">
        <f>D139+D101+D99+D80+D73+D70+D66+D12+D143+D145+D155+D160+D167+D170+D173</f>
        <v>547660.6455800001</v>
      </c>
      <c r="E177" s="344"/>
    </row>
    <row r="178" spans="1:5" s="327" customFormat="1" ht="18" customHeight="1">
      <c r="A178" s="651" t="s">
        <v>358</v>
      </c>
      <c r="B178" s="651"/>
      <c r="C178" s="651"/>
      <c r="D178" s="651"/>
      <c r="E178" s="212"/>
    </row>
    <row r="179" spans="1:5" s="61" customFormat="1" ht="30" customHeight="1">
      <c r="A179" s="67" t="s">
        <v>150</v>
      </c>
      <c r="B179" s="113"/>
      <c r="C179" s="114" t="s">
        <v>10</v>
      </c>
      <c r="D179" s="273"/>
      <c r="E179" s="48"/>
    </row>
    <row r="180" spans="1:5" s="61" customFormat="1" ht="15">
      <c r="A180" s="67" t="s">
        <v>100</v>
      </c>
      <c r="B180" s="113"/>
      <c r="C180" s="114" t="s">
        <v>11</v>
      </c>
      <c r="D180" s="273"/>
      <c r="E180" s="48"/>
    </row>
    <row r="181" spans="1:5" s="61" customFormat="1" ht="15">
      <c r="A181" s="84" t="s">
        <v>414</v>
      </c>
      <c r="B181" s="113"/>
      <c r="C181" s="114" t="s">
        <v>12</v>
      </c>
      <c r="D181" s="273">
        <v>1836.31</v>
      </c>
      <c r="E181" s="48"/>
    </row>
    <row r="182" spans="1:5" s="61" customFormat="1" ht="18" customHeight="1">
      <c r="A182" s="84" t="s">
        <v>117</v>
      </c>
      <c r="B182" s="113"/>
      <c r="C182" s="114" t="s">
        <v>13</v>
      </c>
      <c r="D182" s="273">
        <v>1683</v>
      </c>
      <c r="E182" s="48"/>
    </row>
    <row r="183" spans="1:6" s="61" customFormat="1" ht="28.5" customHeight="1">
      <c r="A183" s="84" t="s">
        <v>154</v>
      </c>
      <c r="B183" s="113"/>
      <c r="C183" s="114" t="s">
        <v>14</v>
      </c>
      <c r="D183" s="325">
        <f>38984.79+15-40.158+55.67+65+25</f>
        <v>39105.301999999996</v>
      </c>
      <c r="E183" s="169"/>
      <c r="F183" s="169"/>
    </row>
    <row r="184" spans="1:5" s="61" customFormat="1" ht="16.5" customHeight="1">
      <c r="A184" s="84" t="s">
        <v>118</v>
      </c>
      <c r="B184" s="113"/>
      <c r="C184" s="114" t="s">
        <v>15</v>
      </c>
      <c r="D184" s="273">
        <v>1585.4</v>
      </c>
      <c r="E184" s="48"/>
    </row>
    <row r="185" spans="1:5" s="61" customFormat="1" ht="15" customHeight="1">
      <c r="A185" s="84" t="s">
        <v>119</v>
      </c>
      <c r="B185" s="113"/>
      <c r="C185" s="114" t="s">
        <v>18</v>
      </c>
      <c r="D185" s="273">
        <v>2</v>
      </c>
      <c r="E185" s="48"/>
    </row>
    <row r="186" spans="1:5" s="61" customFormat="1" ht="16.5" customHeight="1">
      <c r="A186" s="84" t="s">
        <v>120</v>
      </c>
      <c r="B186" s="113"/>
      <c r="C186" s="114" t="s">
        <v>19</v>
      </c>
      <c r="D186" s="273">
        <f>430+320</f>
        <v>750</v>
      </c>
      <c r="E186" s="48"/>
    </row>
    <row r="187" spans="1:5" s="521" customFormat="1" ht="27" customHeight="1">
      <c r="A187" s="84" t="s">
        <v>376</v>
      </c>
      <c r="B187" s="113"/>
      <c r="C187" s="114" t="s">
        <v>20</v>
      </c>
      <c r="D187" s="273">
        <v>100</v>
      </c>
      <c r="E187" s="520"/>
    </row>
    <row r="188" spans="1:5" s="61" customFormat="1" ht="33" customHeight="1" hidden="1">
      <c r="A188" s="84" t="s">
        <v>41</v>
      </c>
      <c r="B188" s="113"/>
      <c r="C188" s="114" t="s">
        <v>21</v>
      </c>
      <c r="D188" s="273"/>
      <c r="E188" s="48"/>
    </row>
    <row r="189" spans="1:5" s="61" customFormat="1" ht="17.25" customHeight="1" hidden="1">
      <c r="A189" s="84" t="s">
        <v>382</v>
      </c>
      <c r="B189" s="113"/>
      <c r="C189" s="114" t="s">
        <v>22</v>
      </c>
      <c r="D189" s="273"/>
      <c r="E189" s="91"/>
    </row>
    <row r="190" spans="1:5" s="61" customFormat="1" ht="76.5" customHeight="1">
      <c r="A190" s="84" t="s">
        <v>934</v>
      </c>
      <c r="B190" s="113"/>
      <c r="C190" s="114" t="s">
        <v>933</v>
      </c>
      <c r="D190" s="273">
        <v>89.342</v>
      </c>
      <c r="E190" s="91"/>
    </row>
    <row r="191" spans="1:5" s="61" customFormat="1" ht="31.5" customHeight="1" hidden="1">
      <c r="A191" s="84" t="s">
        <v>121</v>
      </c>
      <c r="B191" s="113"/>
      <c r="C191" s="114" t="s">
        <v>23</v>
      </c>
      <c r="D191" s="273"/>
      <c r="E191" s="48"/>
    </row>
    <row r="192" spans="1:5" s="61" customFormat="1" ht="15.75" customHeight="1">
      <c r="A192" s="84" t="s">
        <v>571</v>
      </c>
      <c r="B192" s="113"/>
      <c r="C192" s="114" t="s">
        <v>24</v>
      </c>
      <c r="D192" s="273">
        <v>503.9</v>
      </c>
      <c r="E192" s="91"/>
    </row>
    <row r="193" spans="1:5" s="61" customFormat="1" ht="15" customHeight="1">
      <c r="A193" s="84" t="s">
        <v>394</v>
      </c>
      <c r="B193" s="113"/>
      <c r="C193" s="114" t="s">
        <v>25</v>
      </c>
      <c r="D193" s="273">
        <f>90-15</f>
        <v>75</v>
      </c>
      <c r="E193" s="48"/>
    </row>
    <row r="194" spans="1:5" s="61" customFormat="1" ht="15.75" customHeight="1">
      <c r="A194" s="84" t="s">
        <v>395</v>
      </c>
      <c r="B194" s="113"/>
      <c r="C194" s="114" t="s">
        <v>26</v>
      </c>
      <c r="D194" s="273">
        <f>100+1950.4+0.004+296.598-65</f>
        <v>2282.002</v>
      </c>
      <c r="E194" s="48"/>
    </row>
    <row r="195" spans="1:5" s="61" customFormat="1" ht="15.75" customHeight="1">
      <c r="A195" s="84" t="s">
        <v>482</v>
      </c>
      <c r="B195" s="113"/>
      <c r="C195" s="114" t="s">
        <v>84</v>
      </c>
      <c r="D195" s="273">
        <f>683+84.6</f>
        <v>767.6</v>
      </c>
      <c r="E195" s="48"/>
    </row>
    <row r="196" spans="1:5" s="61" customFormat="1" ht="15.75" customHeight="1" hidden="1">
      <c r="A196" s="84" t="s">
        <v>206</v>
      </c>
      <c r="B196" s="113"/>
      <c r="C196" s="114" t="s">
        <v>91</v>
      </c>
      <c r="D196" s="273"/>
      <c r="E196" s="48"/>
    </row>
    <row r="197" spans="1:5" s="61" customFormat="1" ht="15.75" customHeight="1">
      <c r="A197" s="84" t="s">
        <v>490</v>
      </c>
      <c r="B197" s="113"/>
      <c r="C197" s="114" t="s">
        <v>92</v>
      </c>
      <c r="D197" s="273">
        <f>655.9+15</f>
        <v>670.9</v>
      </c>
      <c r="E197" s="48"/>
    </row>
    <row r="198" spans="1:5" s="61" customFormat="1" ht="30" customHeight="1" hidden="1">
      <c r="A198" s="84" t="s">
        <v>313</v>
      </c>
      <c r="B198" s="113"/>
      <c r="C198" s="114" t="s">
        <v>93</v>
      </c>
      <c r="D198" s="273"/>
      <c r="E198" s="48"/>
    </row>
    <row r="199" spans="1:5" s="61" customFormat="1" ht="17.25" customHeight="1" hidden="1">
      <c r="A199" s="84" t="s">
        <v>456</v>
      </c>
      <c r="B199" s="113"/>
      <c r="C199" s="114" t="s">
        <v>94</v>
      </c>
      <c r="D199" s="273"/>
      <c r="E199" s="48"/>
    </row>
    <row r="200" spans="1:5" s="61" customFormat="1" ht="79.5" customHeight="1" hidden="1">
      <c r="A200" s="84" t="s">
        <v>512</v>
      </c>
      <c r="B200" s="113"/>
      <c r="C200" s="114" t="s">
        <v>511</v>
      </c>
      <c r="D200" s="273"/>
      <c r="E200" s="48"/>
    </row>
    <row r="201" spans="1:5" s="61" customFormat="1" ht="17.25" customHeight="1" hidden="1">
      <c r="A201" s="84" t="s">
        <v>506</v>
      </c>
      <c r="B201" s="113"/>
      <c r="C201" s="114" t="s">
        <v>507</v>
      </c>
      <c r="D201" s="273"/>
      <c r="E201" s="48"/>
    </row>
    <row r="202" spans="1:5" s="61" customFormat="1" ht="17.25" customHeight="1">
      <c r="A202" s="84" t="s">
        <v>515</v>
      </c>
      <c r="B202" s="113"/>
      <c r="C202" s="114" t="s">
        <v>516</v>
      </c>
      <c r="D202" s="273">
        <f>1402.9-504.6-2+138.78701</f>
        <v>1035.0870100000002</v>
      </c>
      <c r="E202" s="48"/>
    </row>
    <row r="203" spans="1:5" s="61" customFormat="1" ht="63.75" customHeight="1" hidden="1">
      <c r="A203" s="84" t="s">
        <v>336</v>
      </c>
      <c r="B203" s="113"/>
      <c r="C203" s="114" t="s">
        <v>497</v>
      </c>
      <c r="D203" s="273"/>
      <c r="E203" s="48"/>
    </row>
    <row r="204" spans="1:5" s="61" customFormat="1" ht="15.75" customHeight="1" hidden="1">
      <c r="A204" s="84" t="s">
        <v>545</v>
      </c>
      <c r="B204" s="113"/>
      <c r="C204" s="114" t="s">
        <v>546</v>
      </c>
      <c r="D204" s="273"/>
      <c r="E204" s="48"/>
    </row>
    <row r="205" spans="1:5" s="61" customFormat="1" ht="15.75" customHeight="1">
      <c r="A205" s="84" t="s">
        <v>639</v>
      </c>
      <c r="B205" s="113"/>
      <c r="C205" s="114" t="s">
        <v>580</v>
      </c>
      <c r="D205" s="273">
        <v>900</v>
      </c>
      <c r="E205" s="48"/>
    </row>
    <row r="206" spans="1:5" s="61" customFormat="1" ht="15.75" customHeight="1">
      <c r="A206" s="84" t="s">
        <v>557</v>
      </c>
      <c r="B206" s="113"/>
      <c r="C206" s="114" t="s">
        <v>558</v>
      </c>
      <c r="D206" s="273">
        <f>100-11.45-24.964+600-25.292-6.497-16.526-16.045-27.55-20</f>
        <v>551.6760000000002</v>
      </c>
      <c r="E206" s="48"/>
    </row>
    <row r="207" spans="1:5" s="61" customFormat="1" ht="30" customHeight="1">
      <c r="A207" s="84" t="s">
        <v>755</v>
      </c>
      <c r="B207" s="113"/>
      <c r="C207" s="114" t="s">
        <v>756</v>
      </c>
      <c r="D207" s="273">
        <f>11.45+24.964+25.292+6.497+16.526+16.045+20+27.55</f>
        <v>148.324</v>
      </c>
      <c r="E207" s="48"/>
    </row>
    <row r="208" spans="1:5" s="61" customFormat="1" ht="39.75" customHeight="1" hidden="1">
      <c r="A208" s="84" t="s">
        <v>787</v>
      </c>
      <c r="B208" s="113"/>
      <c r="C208" s="114" t="s">
        <v>788</v>
      </c>
      <c r="D208" s="273"/>
      <c r="E208" s="48"/>
    </row>
    <row r="209" spans="1:5" s="61" customFormat="1" ht="15.75" customHeight="1">
      <c r="A209" s="84" t="s">
        <v>569</v>
      </c>
      <c r="B209" s="113"/>
      <c r="C209" s="114" t="s">
        <v>570</v>
      </c>
      <c r="D209" s="273">
        <f>80.3+40.158</f>
        <v>120.458</v>
      </c>
      <c r="E209" s="48"/>
    </row>
    <row r="210" spans="1:7" s="61" customFormat="1" ht="57" customHeight="1">
      <c r="A210" s="84" t="s">
        <v>576</v>
      </c>
      <c r="B210" s="113"/>
      <c r="C210" s="114" t="s">
        <v>577</v>
      </c>
      <c r="D210" s="273">
        <f>250-150</f>
        <v>100</v>
      </c>
      <c r="E210" s="48"/>
      <c r="G210" s="169"/>
    </row>
    <row r="211" spans="1:7" s="61" customFormat="1" ht="16.5" customHeight="1">
      <c r="A211" s="84" t="s">
        <v>889</v>
      </c>
      <c r="B211" s="113"/>
      <c r="C211" s="114" t="s">
        <v>890</v>
      </c>
      <c r="D211" s="273">
        <v>287.5</v>
      </c>
      <c r="E211" s="48"/>
      <c r="G211" s="169"/>
    </row>
    <row r="212" spans="1:5" s="61" customFormat="1" ht="55.5" customHeight="1">
      <c r="A212" s="84" t="s">
        <v>101</v>
      </c>
      <c r="B212" s="113"/>
      <c r="C212" s="369">
        <v>9999959300</v>
      </c>
      <c r="D212" s="273">
        <f>1361.162+34.03</f>
        <v>1395.192</v>
      </c>
      <c r="E212" s="48"/>
    </row>
    <row r="213" spans="1:5" s="61" customFormat="1" ht="33" customHeight="1" hidden="1">
      <c r="A213" s="386" t="s">
        <v>789</v>
      </c>
      <c r="B213" s="498"/>
      <c r="C213" s="499" t="s">
        <v>790</v>
      </c>
      <c r="D213" s="273"/>
      <c r="E213" s="48"/>
    </row>
    <row r="214" spans="1:5" s="61" customFormat="1" ht="33" customHeight="1">
      <c r="A214" s="84" t="s">
        <v>923</v>
      </c>
      <c r="B214" s="113"/>
      <c r="C214" s="369">
        <v>9999993180</v>
      </c>
      <c r="D214" s="273">
        <v>272.232</v>
      </c>
      <c r="E214" s="48"/>
    </row>
    <row r="215" spans="1:5" s="61" customFormat="1" ht="19.5" customHeight="1">
      <c r="A215" s="184" t="s">
        <v>859</v>
      </c>
      <c r="B215" s="500"/>
      <c r="C215" s="501" t="s">
        <v>861</v>
      </c>
      <c r="D215" s="575">
        <f>D216+D217</f>
        <v>1964.216</v>
      </c>
      <c r="E215" s="48"/>
    </row>
    <row r="216" spans="1:5" s="61" customFormat="1" ht="27.75" customHeight="1">
      <c r="A216" s="84" t="s">
        <v>102</v>
      </c>
      <c r="B216" s="113"/>
      <c r="C216" s="114" t="s">
        <v>861</v>
      </c>
      <c r="D216" s="273">
        <v>1197.791</v>
      </c>
      <c r="E216" s="48"/>
    </row>
    <row r="217" spans="1:5" s="61" customFormat="1" ht="15">
      <c r="A217" s="84" t="s">
        <v>103</v>
      </c>
      <c r="B217" s="113"/>
      <c r="C217" s="114" t="s">
        <v>861</v>
      </c>
      <c r="D217" s="273">
        <v>766.425</v>
      </c>
      <c r="E217" s="48"/>
    </row>
    <row r="218" spans="1:5" s="61" customFormat="1" ht="30" customHeight="1">
      <c r="A218" s="84" t="s">
        <v>732</v>
      </c>
      <c r="B218" s="113"/>
      <c r="C218" s="114" t="s">
        <v>40</v>
      </c>
      <c r="D218" s="273">
        <v>265.91093</v>
      </c>
      <c r="E218" s="48"/>
    </row>
    <row r="219" spans="1:5" s="61" customFormat="1" ht="17.25" customHeight="1">
      <c r="A219" s="84" t="s">
        <v>104</v>
      </c>
      <c r="B219" s="113"/>
      <c r="C219" s="114" t="s">
        <v>16</v>
      </c>
      <c r="D219" s="273">
        <v>794.861</v>
      </c>
      <c r="E219" s="48"/>
    </row>
    <row r="220" spans="1:5" s="61" customFormat="1" ht="34.5" customHeight="1">
      <c r="A220" s="84" t="s">
        <v>674</v>
      </c>
      <c r="B220" s="113"/>
      <c r="C220" s="114" t="s">
        <v>694</v>
      </c>
      <c r="D220" s="273">
        <v>1865.848</v>
      </c>
      <c r="E220" s="48"/>
    </row>
    <row r="221" spans="1:5" s="61" customFormat="1" ht="41.25" customHeight="1" hidden="1">
      <c r="A221" s="84" t="s">
        <v>675</v>
      </c>
      <c r="B221" s="113"/>
      <c r="C221" s="114" t="s">
        <v>695</v>
      </c>
      <c r="D221" s="273"/>
      <c r="E221" s="48"/>
    </row>
    <row r="222" spans="1:5" s="61" customFormat="1" ht="29.25" customHeight="1" hidden="1">
      <c r="A222" s="84" t="s">
        <v>676</v>
      </c>
      <c r="B222" s="113"/>
      <c r="C222" s="114" t="s">
        <v>696</v>
      </c>
      <c r="D222" s="273"/>
      <c r="E222" s="48"/>
    </row>
    <row r="223" spans="1:5" s="61" customFormat="1" ht="45">
      <c r="A223" s="84" t="s">
        <v>105</v>
      </c>
      <c r="B223" s="113"/>
      <c r="C223" s="114" t="s">
        <v>27</v>
      </c>
      <c r="D223" s="273">
        <v>1.69524</v>
      </c>
      <c r="E223" s="48"/>
    </row>
    <row r="224" spans="1:5" s="61" customFormat="1" ht="30.75" customHeight="1">
      <c r="A224" s="84" t="s">
        <v>738</v>
      </c>
      <c r="B224" s="113"/>
      <c r="C224" s="114" t="s">
        <v>461</v>
      </c>
      <c r="D224" s="273">
        <f>26.012+0.0008</f>
        <v>26.012800000000002</v>
      </c>
      <c r="E224" s="48"/>
    </row>
    <row r="225" spans="1:5" s="61" customFormat="1" ht="30" hidden="1">
      <c r="A225" s="84" t="s">
        <v>106</v>
      </c>
      <c r="B225" s="113"/>
      <c r="C225" s="114">
        <v>9999951180</v>
      </c>
      <c r="D225" s="273"/>
      <c r="E225" s="91"/>
    </row>
    <row r="226" spans="1:5" s="61" customFormat="1" ht="42.75" customHeight="1">
      <c r="A226" s="84" t="s">
        <v>640</v>
      </c>
      <c r="B226" s="113"/>
      <c r="C226" s="114" t="s">
        <v>568</v>
      </c>
      <c r="D226" s="273">
        <v>3.38708</v>
      </c>
      <c r="E226" s="91"/>
    </row>
    <row r="227" spans="1:5" s="61" customFormat="1" ht="42.75" customHeight="1">
      <c r="A227" s="84" t="s">
        <v>621</v>
      </c>
      <c r="B227" s="113"/>
      <c r="C227" s="114" t="s">
        <v>561</v>
      </c>
      <c r="D227" s="273">
        <v>879.91987</v>
      </c>
      <c r="E227" s="187"/>
    </row>
    <row r="228" spans="1:5" s="61" customFormat="1" ht="27.75" customHeight="1" hidden="1">
      <c r="A228" s="84" t="s">
        <v>747</v>
      </c>
      <c r="B228" s="113"/>
      <c r="C228" s="114" t="s">
        <v>753</v>
      </c>
      <c r="D228" s="273"/>
      <c r="E228" s="91"/>
    </row>
    <row r="229" spans="1:5" s="61" customFormat="1" ht="29.25" customHeight="1" hidden="1">
      <c r="A229" s="84" t="s">
        <v>752</v>
      </c>
      <c r="B229" s="113"/>
      <c r="C229" s="114" t="s">
        <v>754</v>
      </c>
      <c r="D229" s="273"/>
      <c r="E229" s="91"/>
    </row>
    <row r="230" spans="1:5" s="61" customFormat="1" ht="18.75" customHeight="1" hidden="1">
      <c r="A230" s="386"/>
      <c r="B230" s="113"/>
      <c r="C230" s="388"/>
      <c r="D230" s="508"/>
      <c r="E230" s="91"/>
    </row>
    <row r="231" spans="1:5" s="61" customFormat="1" ht="15" customHeight="1">
      <c r="A231" s="84" t="s">
        <v>860</v>
      </c>
      <c r="B231" s="113"/>
      <c r="C231" s="114" t="s">
        <v>862</v>
      </c>
      <c r="D231" s="273">
        <v>307.152</v>
      </c>
      <c r="E231" s="513"/>
    </row>
    <row r="232" spans="1:5" s="61" customFormat="1" ht="54.75" customHeight="1" hidden="1">
      <c r="A232" s="84" t="s">
        <v>771</v>
      </c>
      <c r="B232" s="113"/>
      <c r="C232" s="114" t="s">
        <v>772</v>
      </c>
      <c r="D232" s="273"/>
      <c r="E232" s="91"/>
    </row>
    <row r="233" spans="1:6" ht="16.5" customHeight="1">
      <c r="A233" s="184" t="s">
        <v>123</v>
      </c>
      <c r="B233" s="500"/>
      <c r="C233" s="501"/>
      <c r="D233" s="213">
        <f>SUM(D181:D215)+SUM(D218:D231)</f>
        <v>60370.22793</v>
      </c>
      <c r="E233" s="345"/>
      <c r="F233" s="215"/>
    </row>
    <row r="234" spans="1:5" s="2" customFormat="1" ht="19.5" customHeight="1">
      <c r="A234" s="184" t="s">
        <v>107</v>
      </c>
      <c r="B234" s="500"/>
      <c r="C234" s="501"/>
      <c r="D234" s="213">
        <f>D233+D177</f>
        <v>608030.8735100002</v>
      </c>
      <c r="E234" s="214"/>
    </row>
    <row r="235" ht="15.75">
      <c r="D235" s="274"/>
    </row>
    <row r="236" spans="3:4" ht="12.75">
      <c r="C236" s="279"/>
      <c r="D236" s="169"/>
    </row>
    <row r="237" ht="12.75">
      <c r="C237" s="279"/>
    </row>
    <row r="238" spans="3:4" ht="12.75">
      <c r="C238" s="261"/>
      <c r="D238" s="263"/>
    </row>
    <row r="240" ht="12.75">
      <c r="C240" s="56"/>
    </row>
    <row r="242" ht="12.75">
      <c r="E242" s="215"/>
    </row>
  </sheetData>
  <sheetProtection/>
  <mergeCells count="7">
    <mergeCell ref="A178:D178"/>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horizontalDpi="600" verticalDpi="600" orientation="portrait" paperSize="9" scale="65" r:id="rId1"/>
  <rowBreaks count="3" manualBreakCount="3">
    <brk id="38" max="3" man="1"/>
    <brk id="104" max="3" man="1"/>
    <brk id="159" max="3" man="1"/>
  </rowBreaks>
</worksheet>
</file>

<file path=xl/worksheets/sheet6.xml><?xml version="1.0" encoding="utf-8"?>
<worksheet xmlns="http://schemas.openxmlformats.org/spreadsheetml/2006/main" xmlns:r="http://schemas.openxmlformats.org/officeDocument/2006/relationships">
  <sheetPr>
    <tabColor rgb="FFFF0000"/>
  </sheetPr>
  <dimension ref="A1:FJ34"/>
  <sheetViews>
    <sheetView tabSelected="1" view="pageBreakPreview" zoomScaleSheetLayoutView="100" zoomScalePageLayoutView="0" workbookViewId="0" topLeftCell="A1">
      <selection activeCell="H23" sqref="H23"/>
    </sheetView>
  </sheetViews>
  <sheetFormatPr defaultColWidth="8.75390625" defaultRowHeight="12.75"/>
  <cols>
    <col min="1" max="1" width="37.75390625" style="25" customWidth="1"/>
    <col min="2" max="2" width="4.75390625" style="16" hidden="1" customWidth="1"/>
    <col min="3" max="3" width="5.375" style="16" hidden="1" customWidth="1"/>
    <col min="4" max="4" width="12.25390625" style="16" hidden="1" customWidth="1"/>
    <col min="5" max="5" width="4.75390625" style="16" hidden="1" customWidth="1"/>
    <col min="6" max="6" width="11.00390625" style="61" customWidth="1"/>
    <col min="7" max="7" width="10.375" style="61" customWidth="1"/>
    <col min="8" max="8" width="13.25390625" style="61" customWidth="1"/>
    <col min="9" max="9" width="11.25390625" style="56" customWidth="1"/>
    <col min="10" max="10" width="8.75390625" style="56" customWidth="1"/>
    <col min="11" max="12" width="11.25390625" style="56" customWidth="1"/>
    <col min="13" max="13" width="8.75390625" style="56" customWidth="1"/>
    <col min="14" max="14" width="11.00390625" style="56" customWidth="1"/>
    <col min="15" max="16384" width="8.75390625" style="56" customWidth="1"/>
  </cols>
  <sheetData>
    <row r="1" spans="1:14" ht="15.75" customHeight="1">
      <c r="A1" s="256"/>
      <c r="B1" s="256"/>
      <c r="C1" s="256"/>
      <c r="D1" s="256"/>
      <c r="E1" s="257"/>
      <c r="F1" s="616"/>
      <c r="G1" s="616"/>
      <c r="H1" s="616"/>
      <c r="L1" s="616" t="s">
        <v>938</v>
      </c>
      <c r="M1" s="616"/>
      <c r="N1" s="616"/>
    </row>
    <row r="2" spans="1:14" ht="18.75">
      <c r="A2" s="258"/>
      <c r="B2" s="257"/>
      <c r="C2" s="257"/>
      <c r="D2" s="259"/>
      <c r="E2" s="257"/>
      <c r="F2" s="616"/>
      <c r="G2" s="616"/>
      <c r="H2" s="616"/>
      <c r="L2" s="616" t="s">
        <v>405</v>
      </c>
      <c r="M2" s="616"/>
      <c r="N2" s="616"/>
    </row>
    <row r="3" spans="1:14" ht="18.75">
      <c r="A3" s="258"/>
      <c r="B3" s="257"/>
      <c r="C3" s="257"/>
      <c r="D3" s="259"/>
      <c r="E3" s="257"/>
      <c r="F3" s="616"/>
      <c r="G3" s="616"/>
      <c r="H3" s="616"/>
      <c r="L3" s="616" t="s">
        <v>406</v>
      </c>
      <c r="M3" s="616"/>
      <c r="N3" s="616"/>
    </row>
    <row r="4" spans="1:14" ht="15.75" customHeight="1">
      <c r="A4" s="258"/>
      <c r="B4" s="257"/>
      <c r="C4" s="257"/>
      <c r="D4" s="257"/>
      <c r="E4" s="257"/>
      <c r="F4" s="645"/>
      <c r="G4" s="616"/>
      <c r="H4" s="616"/>
      <c r="L4" s="645" t="s">
        <v>945</v>
      </c>
      <c r="M4" s="616"/>
      <c r="N4" s="616"/>
    </row>
    <row r="5" ht="4.5" customHeight="1"/>
    <row r="6" spans="1:14" ht="15.75">
      <c r="A6" s="642" t="s">
        <v>407</v>
      </c>
      <c r="B6" s="642"/>
      <c r="C6" s="642"/>
      <c r="D6" s="642"/>
      <c r="E6" s="642"/>
      <c r="F6" s="642"/>
      <c r="G6" s="642"/>
      <c r="H6" s="642"/>
      <c r="I6" s="642"/>
      <c r="J6" s="642"/>
      <c r="K6" s="642"/>
      <c r="L6" s="642"/>
      <c r="M6" s="642"/>
      <c r="N6" s="642"/>
    </row>
    <row r="7" spans="1:14" ht="16.5" customHeight="1">
      <c r="A7" s="658" t="s">
        <v>797</v>
      </c>
      <c r="B7" s="658"/>
      <c r="C7" s="658"/>
      <c r="D7" s="658"/>
      <c r="E7" s="658"/>
      <c r="F7" s="658"/>
      <c r="G7" s="658"/>
      <c r="H7" s="658"/>
      <c r="I7" s="658"/>
      <c r="J7" s="658"/>
      <c r="K7" s="658"/>
      <c r="L7" s="658"/>
      <c r="M7" s="658"/>
      <c r="N7" s="658"/>
    </row>
    <row r="8" spans="1:14" ht="15.75" customHeight="1">
      <c r="A8" s="658"/>
      <c r="B8" s="658"/>
      <c r="C8" s="658"/>
      <c r="D8" s="658"/>
      <c r="E8" s="658"/>
      <c r="F8" s="658"/>
      <c r="G8" s="658"/>
      <c r="H8" s="658"/>
      <c r="I8" s="658"/>
      <c r="J8" s="658"/>
      <c r="K8" s="658"/>
      <c r="L8" s="658"/>
      <c r="M8" s="658"/>
      <c r="N8" s="658"/>
    </row>
    <row r="9" spans="1:14" ht="15.75" customHeight="1">
      <c r="A9" s="10"/>
      <c r="B9" s="10"/>
      <c r="C9" s="533"/>
      <c r="D9" s="533"/>
      <c r="E9" s="533"/>
      <c r="F9" s="533"/>
      <c r="G9" s="533"/>
      <c r="H9" s="83"/>
      <c r="I9" s="83"/>
      <c r="J9" s="83"/>
      <c r="K9" s="83"/>
      <c r="L9" s="83"/>
      <c r="M9" s="83"/>
      <c r="N9" s="83" t="s">
        <v>371</v>
      </c>
    </row>
    <row r="10" spans="1:14" ht="12" customHeight="1">
      <c r="A10" s="659" t="s">
        <v>347</v>
      </c>
      <c r="B10" s="661" t="s">
        <v>142</v>
      </c>
      <c r="C10" s="661" t="s">
        <v>143</v>
      </c>
      <c r="D10" s="663" t="s">
        <v>349</v>
      </c>
      <c r="E10" s="661" t="s">
        <v>144</v>
      </c>
      <c r="F10" s="656" t="s">
        <v>547</v>
      </c>
      <c r="G10" s="655" t="s">
        <v>351</v>
      </c>
      <c r="H10" s="655"/>
      <c r="I10" s="656" t="s">
        <v>656</v>
      </c>
      <c r="J10" s="655" t="s">
        <v>351</v>
      </c>
      <c r="K10" s="655"/>
      <c r="L10" s="656" t="s">
        <v>854</v>
      </c>
      <c r="M10" s="655" t="s">
        <v>351</v>
      </c>
      <c r="N10" s="655"/>
    </row>
    <row r="11" spans="1:14" ht="52.5" customHeight="1">
      <c r="A11" s="660"/>
      <c r="B11" s="662"/>
      <c r="C11" s="662"/>
      <c r="D11" s="664"/>
      <c r="E11" s="662"/>
      <c r="F11" s="657"/>
      <c r="G11" s="3" t="s">
        <v>133</v>
      </c>
      <c r="H11" s="3" t="s">
        <v>245</v>
      </c>
      <c r="I11" s="657"/>
      <c r="J11" s="3" t="s">
        <v>133</v>
      </c>
      <c r="K11" s="3" t="s">
        <v>245</v>
      </c>
      <c r="L11" s="657"/>
      <c r="M11" s="3" t="s">
        <v>133</v>
      </c>
      <c r="N11" s="3" t="s">
        <v>245</v>
      </c>
    </row>
    <row r="12" spans="1:14" s="22" customFormat="1" ht="11.25" customHeight="1">
      <c r="A12" s="19">
        <v>1</v>
      </c>
      <c r="B12" s="19">
        <v>2</v>
      </c>
      <c r="C12" s="19">
        <v>3</v>
      </c>
      <c r="D12" s="19">
        <v>4</v>
      </c>
      <c r="E12" s="19">
        <v>5</v>
      </c>
      <c r="F12" s="20">
        <v>6</v>
      </c>
      <c r="G12" s="13">
        <v>7</v>
      </c>
      <c r="H12" s="21">
        <v>8</v>
      </c>
      <c r="I12" s="20">
        <v>6</v>
      </c>
      <c r="J12" s="13">
        <v>7</v>
      </c>
      <c r="K12" s="21">
        <v>8</v>
      </c>
      <c r="L12" s="20">
        <v>6</v>
      </c>
      <c r="M12" s="13">
        <v>7</v>
      </c>
      <c r="N12" s="21">
        <v>8</v>
      </c>
    </row>
    <row r="13" spans="1:14" s="22" customFormat="1" ht="53.25" customHeight="1" hidden="1">
      <c r="A13" s="76" t="s">
        <v>132</v>
      </c>
      <c r="B13" s="52" t="s">
        <v>392</v>
      </c>
      <c r="C13" s="52" t="s">
        <v>392</v>
      </c>
      <c r="D13" s="52"/>
      <c r="E13" s="52"/>
      <c r="F13" s="534"/>
      <c r="G13" s="535"/>
      <c r="H13" s="535"/>
      <c r="I13" s="534"/>
      <c r="J13" s="535"/>
      <c r="K13" s="535"/>
      <c r="L13" s="534"/>
      <c r="M13" s="535"/>
      <c r="N13" s="535"/>
    </row>
    <row r="14" spans="1:14" s="39" customFormat="1" ht="65.25" customHeight="1" hidden="1">
      <c r="A14" s="155" t="s">
        <v>182</v>
      </c>
      <c r="B14" s="156" t="s">
        <v>392</v>
      </c>
      <c r="C14" s="156" t="s">
        <v>392</v>
      </c>
      <c r="D14" s="156"/>
      <c r="E14" s="156"/>
      <c r="F14" s="536"/>
      <c r="G14" s="537"/>
      <c r="H14" s="537"/>
      <c r="I14" s="536"/>
      <c r="J14" s="537"/>
      <c r="K14" s="537"/>
      <c r="L14" s="536"/>
      <c r="M14" s="537"/>
      <c r="N14" s="537"/>
    </row>
    <row r="15" spans="1:166" s="521" customFormat="1" ht="33.75" customHeight="1" hidden="1">
      <c r="A15" s="538" t="s">
        <v>202</v>
      </c>
      <c r="B15" s="539" t="s">
        <v>392</v>
      </c>
      <c r="C15" s="539" t="s">
        <v>392</v>
      </c>
      <c r="D15" s="539" t="s">
        <v>65</v>
      </c>
      <c r="E15" s="539" t="s">
        <v>203</v>
      </c>
      <c r="F15" s="540">
        <f>G15+H15</f>
        <v>0</v>
      </c>
      <c r="G15" s="106">
        <v>0</v>
      </c>
      <c r="H15" s="106">
        <v>0</v>
      </c>
      <c r="I15" s="540">
        <f>J15+K15</f>
        <v>0</v>
      </c>
      <c r="J15" s="106">
        <v>0</v>
      </c>
      <c r="K15" s="106">
        <v>0</v>
      </c>
      <c r="L15" s="540">
        <f>M15+N15</f>
        <v>0</v>
      </c>
      <c r="M15" s="106">
        <v>0</v>
      </c>
      <c r="N15" s="106">
        <v>0</v>
      </c>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row>
    <row r="16" spans="1:166" s="29" customFormat="1" ht="18.75" customHeight="1">
      <c r="A16" s="331" t="s">
        <v>337</v>
      </c>
      <c r="B16" s="541" t="s">
        <v>229</v>
      </c>
      <c r="C16" s="541" t="s">
        <v>147</v>
      </c>
      <c r="D16" s="541"/>
      <c r="E16" s="541"/>
      <c r="F16" s="542"/>
      <c r="G16" s="332"/>
      <c r="H16" s="332"/>
      <c r="I16" s="542"/>
      <c r="J16" s="332"/>
      <c r="K16" s="332"/>
      <c r="L16" s="542"/>
      <c r="M16" s="332"/>
      <c r="N16" s="332"/>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row>
    <row r="17" spans="1:14" s="254" customFormat="1" ht="17.25" customHeight="1">
      <c r="A17" s="176" t="s">
        <v>140</v>
      </c>
      <c r="B17" s="66"/>
      <c r="C17" s="66"/>
      <c r="D17" s="66"/>
      <c r="E17" s="66"/>
      <c r="F17" s="543"/>
      <c r="G17" s="89"/>
      <c r="H17" s="89"/>
      <c r="I17" s="543"/>
      <c r="J17" s="89"/>
      <c r="K17" s="89"/>
      <c r="L17" s="543"/>
      <c r="M17" s="89"/>
      <c r="N17" s="89"/>
    </row>
    <row r="18" spans="1:166" s="255" customFormat="1" ht="32.25" customHeight="1">
      <c r="A18" s="35" t="s">
        <v>482</v>
      </c>
      <c r="B18" s="66" t="s">
        <v>229</v>
      </c>
      <c r="C18" s="66" t="s">
        <v>146</v>
      </c>
      <c r="D18" s="66" t="s">
        <v>84</v>
      </c>
      <c r="E18" s="66" t="s">
        <v>203</v>
      </c>
      <c r="F18" s="544">
        <f>G18+H18</f>
        <v>767.6</v>
      </c>
      <c r="G18" s="89">
        <f>683+84.6</f>
        <v>767.6</v>
      </c>
      <c r="H18" s="89">
        <v>0</v>
      </c>
      <c r="I18" s="544">
        <f>J18+K18</f>
        <v>683</v>
      </c>
      <c r="J18" s="89">
        <v>683</v>
      </c>
      <c r="K18" s="89">
        <v>0</v>
      </c>
      <c r="L18" s="544">
        <f>M18+N18</f>
        <v>683</v>
      </c>
      <c r="M18" s="89">
        <v>683</v>
      </c>
      <c r="N18" s="89">
        <v>0</v>
      </c>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row>
    <row r="19" spans="1:166" s="255" customFormat="1" ht="25.5" customHeight="1">
      <c r="A19" s="331" t="s">
        <v>597</v>
      </c>
      <c r="B19" s="541" t="s">
        <v>229</v>
      </c>
      <c r="C19" s="541" t="s">
        <v>153</v>
      </c>
      <c r="D19" s="541"/>
      <c r="E19" s="541"/>
      <c r="F19" s="545"/>
      <c r="G19" s="333"/>
      <c r="H19" s="333"/>
      <c r="I19" s="545"/>
      <c r="J19" s="333"/>
      <c r="K19" s="333"/>
      <c r="L19" s="545"/>
      <c r="M19" s="333"/>
      <c r="N19" s="333"/>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row>
    <row r="20" spans="1:166" s="255" customFormat="1" ht="69" customHeight="1">
      <c r="A20" s="35" t="s">
        <v>708</v>
      </c>
      <c r="B20" s="66" t="s">
        <v>229</v>
      </c>
      <c r="C20" s="66" t="s">
        <v>153</v>
      </c>
      <c r="D20" s="124" t="s">
        <v>689</v>
      </c>
      <c r="E20" s="66" t="s">
        <v>287</v>
      </c>
      <c r="F20" s="544">
        <f>G20+H20</f>
        <v>2160</v>
      </c>
      <c r="G20" s="89">
        <v>0</v>
      </c>
      <c r="H20" s="89">
        <v>2160</v>
      </c>
      <c r="I20" s="544">
        <f>J20+K20</f>
        <v>2160</v>
      </c>
      <c r="J20" s="89">
        <v>0</v>
      </c>
      <c r="K20" s="89">
        <v>2160</v>
      </c>
      <c r="L20" s="544">
        <f>M20+N20</f>
        <v>2160</v>
      </c>
      <c r="M20" s="89">
        <v>0</v>
      </c>
      <c r="N20" s="89">
        <v>2160</v>
      </c>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row>
    <row r="21" spans="1:166" s="255" customFormat="1" ht="23.25" customHeight="1">
      <c r="A21" s="331" t="s">
        <v>402</v>
      </c>
      <c r="B21" s="541" t="s">
        <v>229</v>
      </c>
      <c r="C21" s="541" t="s">
        <v>157</v>
      </c>
      <c r="D21" s="541"/>
      <c r="E21" s="541"/>
      <c r="F21" s="545"/>
      <c r="G21" s="333"/>
      <c r="H21" s="333"/>
      <c r="I21" s="545"/>
      <c r="J21" s="333"/>
      <c r="K21" s="333"/>
      <c r="L21" s="545"/>
      <c r="M21" s="333"/>
      <c r="N21" s="333"/>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row>
    <row r="22" spans="1:166" s="255" customFormat="1" ht="114" customHeight="1" hidden="1">
      <c r="A22" s="110" t="s">
        <v>677</v>
      </c>
      <c r="B22" s="66" t="s">
        <v>229</v>
      </c>
      <c r="C22" s="66" t="s">
        <v>157</v>
      </c>
      <c r="D22" s="66"/>
      <c r="E22" s="66"/>
      <c r="F22" s="544"/>
      <c r="G22" s="89"/>
      <c r="H22" s="89"/>
      <c r="I22" s="544"/>
      <c r="J22" s="89"/>
      <c r="K22" s="89"/>
      <c r="L22" s="544"/>
      <c r="M22" s="89"/>
      <c r="N22" s="89"/>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row>
    <row r="23" spans="1:166" s="255" customFormat="1" ht="80.25" customHeight="1">
      <c r="A23" s="84" t="s">
        <v>707</v>
      </c>
      <c r="B23" s="66" t="s">
        <v>229</v>
      </c>
      <c r="C23" s="66" t="s">
        <v>157</v>
      </c>
      <c r="D23" s="66" t="s">
        <v>695</v>
      </c>
      <c r="E23" s="66" t="s">
        <v>203</v>
      </c>
      <c r="F23" s="544">
        <f>G23+H23</f>
        <v>12860.91856</v>
      </c>
      <c r="G23" s="89"/>
      <c r="H23" s="89">
        <f>14649.63122-1788.71266</f>
        <v>12860.91856</v>
      </c>
      <c r="I23" s="544">
        <f>J23+K23</f>
        <v>14927.75311</v>
      </c>
      <c r="J23" s="89"/>
      <c r="K23" s="89">
        <v>14927.75311</v>
      </c>
      <c r="L23" s="544">
        <f>M23+N23</f>
        <v>15217.0012</v>
      </c>
      <c r="M23" s="89"/>
      <c r="N23" s="89">
        <v>15217.0012</v>
      </c>
      <c r="O23" s="51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row>
    <row r="24" spans="1:166" s="255" customFormat="1" ht="86.25" customHeight="1" hidden="1">
      <c r="A24" s="110" t="s">
        <v>679</v>
      </c>
      <c r="B24" s="66"/>
      <c r="C24" s="66"/>
      <c r="D24" s="66"/>
      <c r="E24" s="66"/>
      <c r="F24" s="544"/>
      <c r="G24" s="89"/>
      <c r="H24" s="89"/>
      <c r="I24" s="544"/>
      <c r="J24" s="89"/>
      <c r="K24" s="89"/>
      <c r="L24" s="544"/>
      <c r="M24" s="89"/>
      <c r="N24" s="89"/>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row>
    <row r="25" spans="1:166" s="255" customFormat="1" ht="54" customHeight="1">
      <c r="A25" s="84" t="s">
        <v>709</v>
      </c>
      <c r="B25" s="66" t="s">
        <v>229</v>
      </c>
      <c r="C25" s="66" t="s">
        <v>157</v>
      </c>
      <c r="D25" s="66" t="s">
        <v>696</v>
      </c>
      <c r="E25" s="66" t="s">
        <v>203</v>
      </c>
      <c r="F25" s="544">
        <f>G25+H25</f>
        <v>525.28251</v>
      </c>
      <c r="G25" s="89"/>
      <c r="H25" s="188">
        <f>530.28251-5</f>
        <v>525.28251</v>
      </c>
      <c r="I25" s="544">
        <f>J25+K25</f>
        <v>546.4939</v>
      </c>
      <c r="J25" s="89"/>
      <c r="K25" s="89">
        <v>546.4939</v>
      </c>
      <c r="L25" s="544">
        <f>M25+N25</f>
        <v>568.55666</v>
      </c>
      <c r="M25" s="89"/>
      <c r="N25" s="188">
        <f>573.55666-5</f>
        <v>568.55666</v>
      </c>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row>
    <row r="26" spans="1:166" s="255" customFormat="1" ht="57" customHeight="1" hidden="1">
      <c r="A26" s="176" t="s">
        <v>474</v>
      </c>
      <c r="B26" s="66" t="s">
        <v>229</v>
      </c>
      <c r="C26" s="66" t="s">
        <v>157</v>
      </c>
      <c r="D26" s="66"/>
      <c r="E26" s="66"/>
      <c r="F26" s="544"/>
      <c r="G26" s="89"/>
      <c r="H26" s="89"/>
      <c r="I26" s="544"/>
      <c r="J26" s="89"/>
      <c r="K26" s="89"/>
      <c r="L26" s="544"/>
      <c r="M26" s="89"/>
      <c r="N26" s="89"/>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row>
    <row r="27" spans="1:166" s="29" customFormat="1" ht="18" customHeight="1" hidden="1">
      <c r="A27" s="110" t="s">
        <v>231</v>
      </c>
      <c r="B27" s="66" t="s">
        <v>229</v>
      </c>
      <c r="C27" s="66" t="s">
        <v>157</v>
      </c>
      <c r="D27" s="66"/>
      <c r="E27" s="66"/>
      <c r="F27" s="544"/>
      <c r="G27" s="89"/>
      <c r="H27" s="89"/>
      <c r="I27" s="544"/>
      <c r="J27" s="89"/>
      <c r="K27" s="89"/>
      <c r="L27" s="544"/>
      <c r="M27" s="89"/>
      <c r="N27" s="89"/>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row>
    <row r="28" spans="1:14" s="29" customFormat="1" ht="68.25" customHeight="1">
      <c r="A28" s="35" t="s">
        <v>710</v>
      </c>
      <c r="B28" s="66" t="s">
        <v>229</v>
      </c>
      <c r="C28" s="66" t="s">
        <v>157</v>
      </c>
      <c r="D28" s="66" t="s">
        <v>88</v>
      </c>
      <c r="E28" s="66" t="s">
        <v>203</v>
      </c>
      <c r="F28" s="544">
        <f>G28+H28</f>
        <v>6035.259</v>
      </c>
      <c r="G28" s="89">
        <v>0</v>
      </c>
      <c r="H28" s="89">
        <v>6035.259</v>
      </c>
      <c r="I28" s="544">
        <f>J28+K28</f>
        <v>1333.599</v>
      </c>
      <c r="J28" s="89">
        <v>0</v>
      </c>
      <c r="K28" s="89">
        <v>1333.599</v>
      </c>
      <c r="L28" s="544">
        <f>M28+N28</f>
        <v>807.656</v>
      </c>
      <c r="M28" s="89">
        <v>0</v>
      </c>
      <c r="N28" s="89">
        <v>807.656</v>
      </c>
    </row>
    <row r="29" spans="1:14" s="29" customFormat="1" ht="66" customHeight="1" hidden="1">
      <c r="A29" s="110" t="s">
        <v>182</v>
      </c>
      <c r="B29" s="66" t="s">
        <v>229</v>
      </c>
      <c r="C29" s="66" t="s">
        <v>157</v>
      </c>
      <c r="D29" s="66"/>
      <c r="E29" s="66"/>
      <c r="F29" s="544"/>
      <c r="G29" s="543"/>
      <c r="H29" s="89"/>
      <c r="I29" s="544"/>
      <c r="J29" s="543"/>
      <c r="K29" s="89"/>
      <c r="L29" s="544"/>
      <c r="M29" s="543"/>
      <c r="N29" s="89"/>
    </row>
    <row r="30" spans="1:14" s="29" customFormat="1" ht="69.75" customHeight="1">
      <c r="A30" s="35" t="s">
        <v>711</v>
      </c>
      <c r="B30" s="66" t="s">
        <v>229</v>
      </c>
      <c r="C30" s="66" t="s">
        <v>157</v>
      </c>
      <c r="D30" s="66" t="s">
        <v>65</v>
      </c>
      <c r="E30" s="66" t="s">
        <v>203</v>
      </c>
      <c r="F30" s="544">
        <f>G30+H30</f>
        <v>300</v>
      </c>
      <c r="G30" s="543">
        <v>0</v>
      </c>
      <c r="H30" s="89">
        <v>300</v>
      </c>
      <c r="I30" s="544">
        <f>J30+K30</f>
        <v>0</v>
      </c>
      <c r="J30" s="543">
        <v>0</v>
      </c>
      <c r="K30" s="89">
        <v>0</v>
      </c>
      <c r="L30" s="544">
        <f>M30+N30</f>
        <v>0</v>
      </c>
      <c r="M30" s="543">
        <v>0</v>
      </c>
      <c r="N30" s="89">
        <v>0</v>
      </c>
    </row>
    <row r="31" spans="1:14" ht="18" customHeight="1">
      <c r="A31" s="159" t="s">
        <v>244</v>
      </c>
      <c r="B31" s="519"/>
      <c r="C31" s="519"/>
      <c r="D31" s="519"/>
      <c r="E31" s="519"/>
      <c r="F31" s="546">
        <f>F15+F23+F25+F18+F20+F28+F30</f>
        <v>22649.06007</v>
      </c>
      <c r="G31" s="547">
        <f aca="true" t="shared" si="0" ref="G31:N31">G15+G23+G25+G18+G20+G28+G30</f>
        <v>767.6</v>
      </c>
      <c r="H31" s="547">
        <f t="shared" si="0"/>
        <v>21881.46007</v>
      </c>
      <c r="I31" s="546">
        <f t="shared" si="0"/>
        <v>19650.846009999997</v>
      </c>
      <c r="J31" s="547">
        <f t="shared" si="0"/>
        <v>683</v>
      </c>
      <c r="K31" s="547">
        <f t="shared" si="0"/>
        <v>18967.846009999997</v>
      </c>
      <c r="L31" s="546">
        <f t="shared" si="0"/>
        <v>19436.21386</v>
      </c>
      <c r="M31" s="547">
        <f t="shared" si="0"/>
        <v>683</v>
      </c>
      <c r="N31" s="547">
        <f t="shared" si="0"/>
        <v>18753.21386</v>
      </c>
    </row>
    <row r="32" spans="6:7" ht="15.75">
      <c r="F32" s="45"/>
      <c r="G32" s="548"/>
    </row>
    <row r="33" spans="1:8" ht="15">
      <c r="A33" s="11"/>
      <c r="B33" s="11"/>
      <c r="C33" s="549"/>
      <c r="D33" s="549"/>
      <c r="E33" s="549"/>
      <c r="F33" s="550"/>
      <c r="G33" s="528"/>
      <c r="H33" s="550"/>
    </row>
    <row r="34" spans="4:7" ht="15.75">
      <c r="D34" s="624"/>
      <c r="E34" s="624"/>
      <c r="F34" s="624"/>
      <c r="G34" s="528"/>
    </row>
  </sheetData>
  <sheetProtection/>
  <mergeCells count="22">
    <mergeCell ref="A10:A11"/>
    <mergeCell ref="B10:B11"/>
    <mergeCell ref="C10:C11"/>
    <mergeCell ref="D10:D11"/>
    <mergeCell ref="E10:E11"/>
    <mergeCell ref="F10:F11"/>
    <mergeCell ref="F2:H2"/>
    <mergeCell ref="F3:H3"/>
    <mergeCell ref="F4:H4"/>
    <mergeCell ref="G10:H10"/>
    <mergeCell ref="L10:L11"/>
    <mergeCell ref="D34:F34"/>
    <mergeCell ref="M10:N10"/>
    <mergeCell ref="L1:N1"/>
    <mergeCell ref="L2:N2"/>
    <mergeCell ref="L3:N3"/>
    <mergeCell ref="L4:N4"/>
    <mergeCell ref="I10:I11"/>
    <mergeCell ref="J10:K10"/>
    <mergeCell ref="A6:N6"/>
    <mergeCell ref="A7:N8"/>
    <mergeCell ref="F1:H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Марина</cp:lastModifiedBy>
  <cp:lastPrinted>2021-08-26T22:59:23Z</cp:lastPrinted>
  <dcterms:created xsi:type="dcterms:W3CDTF">2008-10-27T01:25:53Z</dcterms:created>
  <dcterms:modified xsi:type="dcterms:W3CDTF">2021-08-26T23:09:02Z</dcterms:modified>
  <cp:category/>
  <cp:version/>
  <cp:contentType/>
  <cp:contentStatus/>
</cp:coreProperties>
</file>