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6" windowWidth="8388" windowHeight="5088" tabRatio="848" activeTab="1"/>
  </bookViews>
  <sheets>
    <sheet name="1" sheetId="1" r:id="rId1"/>
    <sheet name="6" sheetId="2" r:id="rId2"/>
    <sheet name="7" sheetId="3" r:id="rId3"/>
    <sheet name="8" sheetId="4" r:id="rId4"/>
    <sheet name="9" sheetId="5" r:id="rId5"/>
    <sheet name="9.1" sheetId="6" r:id="rId6"/>
    <sheet name="14" sheetId="7" r:id="rId7"/>
  </sheets>
  <definedNames>
    <definedName name="_xlnm.Print_Titles" localSheetId="1">'6'!$8:$9</definedName>
    <definedName name="_xlnm.Print_Area" localSheetId="0">'1'!$A$1:$C$21</definedName>
    <definedName name="_xlnm.Print_Area" localSheetId="6">'14'!$A$1:$N$31</definedName>
    <definedName name="_xlnm.Print_Area" localSheetId="1">'6'!$A$1:$F$103</definedName>
    <definedName name="_xlnm.Print_Area" localSheetId="2">'7'!$A$1:$H$654</definedName>
    <definedName name="_xlnm.Print_Area" localSheetId="3">'8'!$A$1:$I$687</definedName>
    <definedName name="_xlnm.Print_Area" localSheetId="4">'9'!$A$1:$D$231</definedName>
    <definedName name="_xlnm.Print_Area" localSheetId="5">'9.1'!$A$1:$D$221</definedName>
  </definedNames>
  <calcPr fullCalcOnLoad="1"/>
</workbook>
</file>

<file path=xl/sharedStrings.xml><?xml version="1.0" encoding="utf-8"?>
<sst xmlns="http://schemas.openxmlformats.org/spreadsheetml/2006/main" count="8450" uniqueCount="965">
  <si>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</si>
  <si>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</si>
  <si>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</si>
  <si>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</si>
  <si>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1 11 05013 05 0000 120</t>
  </si>
  <si>
    <t>Другие вопросы в области культуры, кинематографии</t>
  </si>
  <si>
    <t>1 11 05013 10 0000 120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</si>
  <si>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</si>
  <si>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7952200</t>
  </si>
  <si>
    <t>Муниципальная программа "Создание многофункционального центра предоставления государственных и муниципальных услуг Кировского муниципального района на 2014-2015 годы"</t>
  </si>
  <si>
    <t>9900000000</t>
  </si>
  <si>
    <t>9990000000</t>
  </si>
  <si>
    <t>9990010010</t>
  </si>
  <si>
    <t>9990010020</t>
  </si>
  <si>
    <t>9990010030</t>
  </si>
  <si>
    <t>9990010040</t>
  </si>
  <si>
    <t>9990093100</t>
  </si>
  <si>
    <t>9990093010</t>
  </si>
  <si>
    <t>9990093030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</si>
  <si>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</si>
  <si>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</si>
  <si>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</si>
  <si>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</si>
  <si>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9990010080</t>
  </si>
  <si>
    <t>9990010090</t>
  </si>
  <si>
    <t>9990010100</t>
  </si>
  <si>
    <t>9990010101</t>
  </si>
  <si>
    <t>9990010102</t>
  </si>
  <si>
    <t>9990010103</t>
  </si>
  <si>
    <t>9990093120</t>
  </si>
  <si>
    <t>0800000000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</si>
  <si>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</si>
  <si>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</si>
  <si>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</si>
  <si>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</si>
  <si>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</si>
  <si>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</si>
  <si>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</si>
  <si>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</si>
  <si>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</si>
  <si>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</si>
  <si>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</si>
  <si>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</si>
  <si>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</si>
  <si>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</si>
  <si>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</si>
  <si>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</si>
  <si>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</si>
  <si>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</si>
  <si>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</si>
  <si>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</si>
  <si>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</si>
  <si>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</si>
  <si>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</si>
  <si>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</si>
  <si>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</si>
  <si>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</si>
  <si>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</si>
  <si>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</si>
  <si>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</si>
  <si>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</si>
  <si>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</si>
  <si>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</si>
  <si>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</si>
  <si>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</si>
  <si>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</si>
  <si>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</si>
  <si>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</si>
  <si>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</si>
  <si>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</si>
  <si>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</si>
  <si>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</si>
  <si>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</si>
  <si>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</si>
  <si>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</si>
  <si>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</si>
  <si>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</si>
  <si>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</si>
  <si>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</si>
  <si>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</si>
  <si>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</si>
  <si>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</si>
  <si>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</si>
  <si>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</si>
  <si>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</si>
  <si>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</si>
  <si>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</si>
  <si>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</si>
  <si>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</si>
  <si>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</si>
  <si>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</si>
  <si>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</si>
  <si>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</si>
  <si>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9990010105</t>
  </si>
  <si>
    <t>9990010106</t>
  </si>
  <si>
    <t>9990010107</t>
  </si>
  <si>
    <t>9990010108</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</si>
  <si>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</si>
  <si>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</si>
  <si>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0800020140</t>
  </si>
  <si>
    <t>060000000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</si>
  <si>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</si>
  <si>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</si>
  <si>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</si>
  <si>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</si>
  <si>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</si>
  <si>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</si>
  <si>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</si>
  <si>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первичного воинского учета на территориях, где отсутствуют военные комиссариаты</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</si>
  <si>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</si>
  <si>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</si>
  <si>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</si>
  <si>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</si>
  <si>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</si>
  <si>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</si>
  <si>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</si>
  <si>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</si>
  <si>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</si>
  <si>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мероприятия по администрации  Кировского муниципального района</t>
  </si>
  <si>
    <t>Председатель Думы муниципального образования</t>
  </si>
  <si>
    <t>Председатель КСК</t>
  </si>
  <si>
    <t>Исполнительные листы</t>
  </si>
  <si>
    <t>Оценка недвижимости</t>
  </si>
  <si>
    <t>Иные межбюджетные трансферты (переданные полномочия поселений по дорогам)</t>
  </si>
  <si>
    <t xml:space="preserve">Программные направления деятельности органов местного самоуправления </t>
  </si>
  <si>
    <t>Всего  непрограммные мероприятия</t>
  </si>
  <si>
    <t>620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</si>
  <si>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</si>
  <si>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(МБУ ДОД "ДЮЦ")</t>
  </si>
  <si>
    <t>Субсидии бюджетным учреждениям (МБУ ВПЦ "Патриот")</t>
  </si>
  <si>
    <t>022933040</t>
  </si>
  <si>
    <t>Муниципальная программа "Развитие малого и среднего предпринимательства в Кировском муниципальном районе на 2014-2017 годы"</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</si>
  <si>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</si>
  <si>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образования</t>
  </si>
  <si>
    <t>Муниципальная программа "Развитие образования в Кировском муниципальном районе на 2014-2017  годы"</t>
  </si>
  <si>
    <t>за счет средств местного бюджета</t>
  </si>
  <si>
    <t>подразделам, целевым статьям и видам расходов в соответствии с классификацией расходов</t>
  </si>
  <si>
    <t>(тыс. руб.)</t>
  </si>
  <si>
    <t>Муниципальная программа "Создание многофункционального центра предоставления государственных и муниципальныхь услуг Кировского муниципального района на 2015-2016 годы"</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</si>
  <si>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</si>
  <si>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</si>
  <si>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</si>
  <si>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</si>
  <si>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</si>
  <si>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</si>
  <si>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</si>
  <si>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</si>
  <si>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</si>
  <si>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</si>
  <si>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</si>
  <si>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</si>
  <si>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</si>
  <si>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</si>
  <si>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</si>
  <si>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</si>
  <si>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</si>
  <si>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</si>
  <si>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</si>
  <si>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</si>
  <si>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</si>
  <si>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</si>
  <si>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</si>
  <si>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Непрограммные направления деятельности органов местного самоуправления ( КСК)</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</si>
  <si>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</si>
  <si>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</si>
  <si>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</si>
  <si>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</si>
  <si>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Резервный фонд Администрации Кировского муниципального района</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</si>
  <si>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</si>
  <si>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</si>
  <si>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</si>
  <si>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</si>
  <si>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 xml:space="preserve">Общее образование </t>
  </si>
  <si>
    <t>1 11 05035 05 0000 120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</si>
  <si>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</si>
  <si>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</si>
  <si>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Дотации бюджетам муниципальных районов на выравнивание бюджетной обеспеченности</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</si>
  <si>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</si>
  <si>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</si>
  <si>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</si>
  <si>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</si>
  <si>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</si>
  <si>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</si>
  <si>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</si>
  <si>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Субвенции на организацию и обеспечение оздоровления и отдыха детей Приморского края ( за исключением организации отдыха детей в каникулярное время)</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</si>
  <si>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</si>
  <si>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</si>
  <si>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</si>
  <si>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</si>
  <si>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</si>
  <si>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</si>
  <si>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</si>
  <si>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</si>
  <si>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</si>
  <si>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</si>
  <si>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</si>
  <si>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</si>
  <si>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</si>
  <si>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</si>
  <si>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</si>
  <si>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</si>
  <si>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</si>
  <si>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</si>
  <si>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</si>
  <si>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</si>
  <si>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</si>
  <si>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</si>
  <si>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</si>
  <si>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</si>
  <si>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</si>
  <si>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</si>
  <si>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</si>
  <si>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</si>
  <si>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</si>
  <si>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</si>
  <si>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</si>
  <si>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</si>
  <si>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7952100</t>
  </si>
  <si>
    <t>7952110</t>
  </si>
  <si>
    <t>Подпрограмма № 1 "Развитие и поддержка клубов"</t>
  </si>
  <si>
    <t>Мероприятия по развитию и поддержке клубов</t>
  </si>
  <si>
    <t>7952111</t>
  </si>
  <si>
    <t>7952112</t>
  </si>
  <si>
    <t>Мероприятия по развитию и поддержке библиотек</t>
  </si>
  <si>
    <t>7952121</t>
  </si>
  <si>
    <t>Подпрограмма № 3 "Развитие и поддержка  музеев"</t>
  </si>
  <si>
    <t>7952130</t>
  </si>
  <si>
    <t>Мероприятия по развитию и поддержке музеев</t>
  </si>
  <si>
    <t>7952131</t>
  </si>
  <si>
    <t>7952132</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</si>
  <si>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</si>
  <si>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</si>
  <si>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</si>
  <si>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</si>
  <si>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</si>
  <si>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</si>
  <si>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</si>
  <si>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</si>
  <si>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</si>
  <si>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</si>
  <si>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</si>
  <si>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</si>
  <si>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</si>
  <si>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</si>
  <si>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</si>
  <si>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</si>
  <si>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Всего расходов</t>
  </si>
  <si>
    <t>за счет средств краевого  бюджета</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</si>
  <si>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</si>
  <si>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</si>
  <si>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</si>
  <si>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</si>
  <si>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</si>
  <si>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</si>
  <si>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</si>
  <si>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</si>
  <si>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</si>
  <si>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</si>
  <si>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</si>
  <si>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</si>
  <si>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</si>
  <si>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</si>
  <si>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</si>
  <si>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</si>
  <si>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</si>
  <si>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</si>
  <si>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</si>
  <si>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</si>
  <si>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</si>
  <si>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</si>
  <si>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налог на вмененный доход для отдельных видов деятельности</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</si>
  <si>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</si>
  <si>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</si>
  <si>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</si>
  <si>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</si>
  <si>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</si>
  <si>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</si>
  <si>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</si>
  <si>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</si>
  <si>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</si>
  <si>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</si>
  <si>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</si>
  <si>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</si>
  <si>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</si>
  <si>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</si>
  <si>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</si>
  <si>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9900004</t>
  </si>
  <si>
    <t>Муниципальная программа "Доступная среда для инвалидов в Кировском муниципальном районе на 2016-2019 годы"</t>
  </si>
  <si>
    <t>Дотации от других бюджетов бюджетной системы Российской Федерации</t>
  </si>
  <si>
    <t>610</t>
  </si>
  <si>
    <t>краевой  бюджет</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</si>
  <si>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</si>
  <si>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</si>
  <si>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</si>
  <si>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Ве-домст-во</t>
  </si>
  <si>
    <t>Мероприятия по развитию физкультуры и спорта</t>
  </si>
  <si>
    <t>Субсидии организациям, образующим инфракструктуру поддержки субьектов малого и среднего предпринимательства на возмещение затрат, связанных с проведением мероприятий по повышению эффективности и конкурентноспособности субъектов малого и среднего предпринимательства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</si>
  <si>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</si>
  <si>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</si>
  <si>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</si>
  <si>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</si>
  <si>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</si>
  <si>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</si>
  <si>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</si>
  <si>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</si>
  <si>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</si>
  <si>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</si>
  <si>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</si>
  <si>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</si>
  <si>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</si>
  <si>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</si>
  <si>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</si>
  <si>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</si>
  <si>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</si>
  <si>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</si>
  <si>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</si>
  <si>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</si>
  <si>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 входящих в их состав </t>
  </si>
  <si>
    <t>Ед.изм.</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</si>
  <si>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</si>
  <si>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</si>
  <si>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</si>
  <si>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</si>
  <si>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</si>
  <si>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9999000070</t>
  </si>
  <si>
    <t>7950122000</t>
  </si>
  <si>
    <t>Межбюджетные трансферты,передаваемые бюджетам муниципальных районов на комплектование книжных фондов библиотек муниципального образования</t>
  </si>
  <si>
    <t>Администрация Кировского муниципального района</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</si>
  <si>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</si>
  <si>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</si>
  <si>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1 11 07015 05 0000 120</t>
  </si>
  <si>
    <t>1 17 05000 00 0000 180</t>
  </si>
  <si>
    <t>ПРОЧИЕ НЕНАЛОГОВЫЕ ДОХОДЫ</t>
  </si>
  <si>
    <t>Мероприятия по предупреждению развития наркомании в районе</t>
  </si>
  <si>
    <t>1 17 05050 05 0000 180</t>
  </si>
  <si>
    <t>730</t>
  </si>
  <si>
    <t>Прочие неналоговые доходы бюджетов муниципальных районов</t>
  </si>
  <si>
    <t>9999000040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</si>
  <si>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</si>
  <si>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Социальная политика</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</si>
  <si>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</si>
  <si>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Субсидии бюджетным учреждениям  (МБУ "КДЦ")</t>
  </si>
  <si>
    <t>Субсидии бюджетным учреждениям (МБУ "КДЦ")</t>
  </si>
  <si>
    <t>Иные межбюджетные трансферты на комплектование книжных фондов библиотек муниципальных образований</t>
  </si>
  <si>
    <t>Создание многофункционального центра</t>
  </si>
  <si>
    <t>Дотации бюджетам муниципальных районов на поддержку мер по обеспечению сбалансированности бюджетов</t>
  </si>
  <si>
    <t>7950106020</t>
  </si>
  <si>
    <t>тыс. руб.</t>
  </si>
  <si>
    <t>Массовый спорт</t>
  </si>
  <si>
    <t>Прочие межбюджетные трансферты общего характера</t>
  </si>
  <si>
    <t>Наименование</t>
  </si>
  <si>
    <t>Ведомство</t>
  </si>
  <si>
    <t>Целевая статья</t>
  </si>
  <si>
    <t>Вид расх</t>
  </si>
  <si>
    <t>в том числе:</t>
  </si>
  <si>
    <t>местный бюджет</t>
  </si>
  <si>
    <t>Учреждение: Администрация Кировского муниципального района</t>
  </si>
  <si>
    <t>Общегосударственные вопросы</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</si>
  <si>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</si>
  <si>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</si>
  <si>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</si>
  <si>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</si>
  <si>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</si>
  <si>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</si>
  <si>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</si>
  <si>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</si>
  <si>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</si>
  <si>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</si>
  <si>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Мобилизационная и вневойсковая подготовка</t>
  </si>
  <si>
    <t>Другие вопросы в области жилищно-коммунального хозяйства</t>
  </si>
  <si>
    <t>Образование</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</si>
  <si>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</si>
  <si>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</si>
  <si>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Межбюджетные трансферты, передаваемые бюджетам муниципальных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</si>
  <si>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Расходы на обеспечение деятельности (оказание услуг, выполнение работ) муниципальных учреждений (школы)</t>
  </si>
  <si>
    <t>(тыс. руб. )</t>
  </si>
  <si>
    <t>НАЦИОНАЛЬНАЯ ОБОРОНА</t>
  </si>
  <si>
    <t>Субвенции на осуществление первичного воинского учета на территориях, где отсутствуют военные комиссариаты</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</si>
  <si>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</si>
  <si>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</si>
  <si>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</si>
  <si>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</si>
  <si>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</si>
  <si>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</si>
  <si>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</si>
  <si>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</si>
  <si>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</si>
  <si>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</si>
  <si>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</si>
  <si>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организациям, образующим инфраструктуру поддержки субъектов малого и среднего предпринимательства, на возмещение затрат, связанных с проведением мероприятий по повышению эффективности и конкурентоспособности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</si>
  <si>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</si>
  <si>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</si>
  <si>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</si>
  <si>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</si>
  <si>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</si>
  <si>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</si>
  <si>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</si>
  <si>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Расходы на обеспечение деятельности (оказание услуг, выполнение работ) муниципальных учреждений дошкольного образования</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</si>
  <si>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</si>
  <si>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</si>
  <si>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</si>
  <si>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</si>
  <si>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</si>
  <si>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</si>
  <si>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</si>
  <si>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</si>
  <si>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</si>
  <si>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</si>
  <si>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</si>
  <si>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</si>
  <si>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</si>
  <si>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</si>
  <si>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</si>
  <si>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0000000</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</si>
  <si>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</si>
  <si>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</si>
  <si>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</si>
  <si>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</si>
  <si>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</si>
  <si>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</si>
  <si>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</si>
  <si>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</si>
  <si>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</si>
  <si>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</si>
  <si>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</si>
  <si>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1 05 02000 02 0000 110</t>
  </si>
  <si>
    <t>1 05 03000 01 0000 110</t>
  </si>
  <si>
    <t>ДОХОДЫ ОТ ИСПОЛЬЗОВАНИЯ ИМУЩЕСТВА НАХОДЯЩЕГОСЯ В ГОСУДАРСТВЕННОЙ И МУНИЦИПАЛЬНОЙ СОБСТВЕННОСТИ</t>
  </si>
  <si>
    <t>Субсидии автономным учреждениям</t>
  </si>
  <si>
    <t>Субсидии из местного бюджета на содержание многофункциональных центров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</si>
  <si>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</si>
  <si>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</si>
  <si>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</si>
  <si>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автономных учреждений, а так же имущества муниципальных унитарных предприятий, в том числе казенных)</t>
  </si>
  <si>
    <t>1 13 02995 05 0000 130</t>
  </si>
  <si>
    <t>Прочие доходы от компенсации затрат бюджетов муниципальных районов</t>
  </si>
  <si>
    <t>1 14 02050 05 0000 410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</si>
  <si>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</si>
  <si>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</si>
  <si>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</si>
  <si>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</si>
  <si>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</si>
  <si>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Субсидии бюджетным организациям</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</si>
  <si>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</si>
  <si>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</si>
  <si>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0595144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</si>
  <si>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</si>
  <si>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</si>
  <si>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</si>
  <si>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</si>
  <si>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</si>
  <si>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</si>
  <si>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</si>
  <si>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</si>
  <si>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</si>
  <si>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</si>
  <si>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</si>
  <si>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</si>
  <si>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</si>
  <si>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</si>
  <si>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</si>
  <si>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</si>
  <si>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2 02 15001 05 0000 151</t>
  </si>
  <si>
    <t>2 02 20000 00 0000 151</t>
  </si>
  <si>
    <t>Приложение № 2</t>
  </si>
  <si>
    <t>9990051200</t>
  </si>
  <si>
    <t>Подпрограмма № 6 «Организация отдыха  детей»</t>
  </si>
  <si>
    <t>Подпрограмма № 8 "Молодежь Кировского района"</t>
  </si>
  <si>
    <t>0800092070</t>
  </si>
  <si>
    <t>3  02 40014 05 0000 151</t>
  </si>
  <si>
    <t>4  02 40014 05 0000 151</t>
  </si>
  <si>
    <t>5  02 40014 05 0000 151</t>
  </si>
  <si>
    <t>Муниципальная программа "Развитие малого и среднего предпринимательства в Кировском муниципальном районе на 2018-2022 годы"</t>
  </si>
  <si>
    <t>0900000000</t>
  </si>
  <si>
    <t>0900090960</t>
  </si>
  <si>
    <t>1000000000</t>
  </si>
  <si>
    <t>1000020140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</si>
  <si>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</si>
  <si>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</si>
  <si>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 xml:space="preserve"> 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</si>
  <si>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терроризма и экстремизма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</si>
  <si>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</si>
  <si>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</si>
  <si>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</si>
  <si>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Подпрограмма № 9 «Предупреждение развития наркомании в районе»</t>
  </si>
  <si>
    <t>Муниципальная программа «Развитие малого и среднего предпринимательства в Кировском муниципальном районе на 2018-2022 годы»</t>
  </si>
  <si>
    <t>Доплата к  пенсии  муниципальным служащим</t>
  </si>
  <si>
    <t>Муниципальная программа «Развитие образования в Кировском муниципальном районе на 2018-2022 гг.»</t>
  </si>
  <si>
    <t>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</si>
  <si>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экстремизма и терроризма на территории Кировского района на 2018-2022 годы"</t>
  </si>
  <si>
    <t>Муниципальная программа "Сохранение и развитие культуры в Кировском муниципальном районе на 2018-2022 годы"</t>
  </si>
  <si>
    <t>Муниципальная программа "Патриотическое воспитание граждан в Кировском муниципальном районе на 2018-2022 годы"</t>
  </si>
  <si>
    <t>Муниципальная программа "Профилактика экстремизма и терроризма на территории Кировского муниципального района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</si>
  <si>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</si>
  <si>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</si>
  <si>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</si>
  <si>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</si>
  <si>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</si>
  <si>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</si>
  <si>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</si>
  <si>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</si>
  <si>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</si>
  <si>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0180020000</t>
  </si>
  <si>
    <t>0700020270</t>
  </si>
  <si>
    <t>07000L0270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</si>
  <si>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</si>
  <si>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</si>
  <si>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</si>
  <si>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Обеспечение проведения выборов и референдумов</t>
  </si>
  <si>
    <t>Непрограммные направления деятельности муниципальных органов</t>
  </si>
  <si>
    <t>Проведение выборов в представительные органы муниципального образования</t>
  </si>
  <si>
    <t>9990010109</t>
  </si>
  <si>
    <t>Мероприятия гос.программы РФ "Доступная среда "на 2011-2020 годы (МБУ "КДЦ")</t>
  </si>
  <si>
    <t>Мероприятия гос.программы РФ "Доступная среда "на 2011-2020 годы (МБУ "КДЦ"</t>
  </si>
  <si>
    <t>1 14 06013 13 0000 430</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</si>
  <si>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</si>
  <si>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</si>
  <si>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</si>
  <si>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</si>
  <si>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</si>
  <si>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</si>
  <si>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</si>
  <si>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</si>
  <si>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Общий объем на 2021 г.</t>
  </si>
  <si>
    <t>Сумма 
на 2021 год</t>
  </si>
  <si>
    <t>Приложение  № 3</t>
  </si>
  <si>
    <t>1200093110</t>
  </si>
  <si>
    <t>1200012261</t>
  </si>
  <si>
    <t>1200012262</t>
  </si>
  <si>
    <t>1200012263</t>
  </si>
  <si>
    <t>1200051180</t>
  </si>
  <si>
    <t>1100000000</t>
  </si>
  <si>
    <t>1100011160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</si>
  <si>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</si>
  <si>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1200000000</t>
  </si>
  <si>
    <t>0700020271</t>
  </si>
  <si>
    <t>0700020272</t>
  </si>
  <si>
    <t>мероприятия по МКУ ЦОМОУ</t>
  </si>
  <si>
    <t>Субвенции на осуществление первичного воинского учета на территориях, где отсутствуют военные комиссариаты (межбюджетные трансферты)</t>
  </si>
  <si>
    <t>Процентные платежи по муниципальному долгу</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</si>
  <si>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</si>
  <si>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</si>
  <si>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</si>
  <si>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</si>
  <si>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</si>
  <si>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</si>
  <si>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</si>
  <si>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 МБУ КДЦ Кировского муниципального района. Субсидии бюджетным учреждениям</t>
  </si>
  <si>
    <t>Финансовое обеспечение (бухгалтерский учет)</t>
  </si>
  <si>
    <t>Меропрятия по ликвидации МАУ "МФЦ"</t>
  </si>
  <si>
    <t>9990010120</t>
  </si>
  <si>
    <t>Общий объем на 2021 г</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</si>
  <si>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</si>
  <si>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1 14 06025 05 0000 430</t>
  </si>
  <si>
    <t>2 02 35930 05 0000 150</t>
  </si>
  <si>
    <t>2 02 30000 00 0000 150</t>
  </si>
  <si>
    <t>2 02 15002 05 0000 150</t>
  </si>
  <si>
    <t>2 02 35120 05 0000 150</t>
  </si>
  <si>
    <t>2 02 30024 05 0000 150</t>
  </si>
  <si>
    <t>Специальные расходы</t>
  </si>
  <si>
    <t>880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</si>
  <si>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</si>
  <si>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</si>
  <si>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</si>
  <si>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</si>
  <si>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</si>
  <si>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</si>
  <si>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</si>
  <si>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</si>
  <si>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</si>
  <si>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</si>
  <si>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</si>
  <si>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</si>
  <si>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</si>
  <si>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</si>
  <si>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</si>
  <si>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</si>
  <si>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</si>
  <si>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</si>
  <si>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</si>
  <si>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</si>
  <si>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</si>
  <si>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</si>
  <si>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</si>
  <si>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</si>
  <si>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</si>
  <si>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0110020000</t>
  </si>
  <si>
    <t>011E250970</t>
  </si>
  <si>
    <t>0110020043</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</si>
  <si>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</si>
  <si>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</si>
  <si>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</si>
  <si>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</si>
  <si>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</si>
  <si>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</si>
  <si>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</si>
  <si>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</si>
  <si>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</si>
  <si>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</si>
  <si>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</si>
  <si>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0620020141</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</si>
  <si>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</si>
  <si>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</si>
  <si>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</si>
  <si>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</si>
  <si>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</si>
  <si>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</si>
  <si>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</si>
  <si>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</si>
  <si>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040P592190</t>
  </si>
  <si>
    <t xml:space="preserve">Предоставление субсидий бюджетным, автономным учреждениям и иным некоммерческим организациям </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</si>
  <si>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</si>
  <si>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</si>
  <si>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</si>
  <si>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</si>
  <si>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</si>
  <si>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</si>
  <si>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</si>
  <si>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</si>
  <si>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</si>
  <si>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rPr>
      <t>(администрация КМР)</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</si>
  <si>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</si>
  <si>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</si>
  <si>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</si>
  <si>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1"/>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</si>
  <si>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</si>
  <si>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t>
  </si>
  <si>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</si>
  <si>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</si>
  <si>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</si>
  <si>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</si>
  <si>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Субсидии бюджетам муниципальных образований Приморского края на создание в общеобразовательных организациях, расположенных в сельской местности, условий для занятий физической культурой и спортом (краевой бюджет)</t>
  </si>
  <si>
    <t>Расходы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 в целях софинансирования которых из бюджета Приморского края предоставляются субсидии</t>
  </si>
  <si>
    <t xml:space="preserve">Субвенции  на обеспечение   бесплатным питанием детей, обучающихся муниципальных общеобразовательных учреждениях </t>
  </si>
  <si>
    <t>952</t>
  </si>
  <si>
    <t>953</t>
  </si>
  <si>
    <t>954</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</si>
  <si>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</si>
  <si>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</si>
  <si>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</si>
  <si>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на комплектование книжных фондов и обеспечение информационно- техническим оборудованием библиотек (краевой бюджет)</t>
  </si>
  <si>
    <t>Расходы на комплектование книжных фондов и обеспечение информационно- техническим оборудованием библиотек за счет средств местного бюджета, в целях софинансирования которых из бюджета Приморского края предоставляются субсидии</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</si>
  <si>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</si>
  <si>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</si>
  <si>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</si>
  <si>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</si>
  <si>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</si>
  <si>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 же средства от продажи права на заключение договоров аренды указанных участков</t>
  </si>
  <si>
    <t>1 13 02065 05 0000 130</t>
  </si>
  <si>
    <t>Доходы, поступающие в порядке возмещения расходов, понесенных в связи с эксплуатацией имущества муниципальных районов</t>
  </si>
  <si>
    <t>2 02 15000 00 0000 150</t>
  </si>
  <si>
    <t>2 02 29999 05 0000 150</t>
  </si>
  <si>
    <t>Субсидии                                                                                                             
из краевого бюджета бюджетам муниципальных образований Приморского края на развитие спортивной инфраструктуры, находящейся в муниципальной собственности</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</si>
  <si>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</si>
  <si>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</si>
  <si>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</si>
  <si>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</si>
  <si>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</si>
  <si>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</si>
  <si>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Налог, взимаемый в связи с применением упрощенной системы налогообложения</t>
  </si>
  <si>
    <t>Сумма 
на 2022 год</t>
  </si>
  <si>
    <r>
      <rPr>
        <i/>
        <sz val="11"/>
        <rFont val="Times New Roman"/>
        <family val="1"/>
      </rPr>
      <t>Субсидии</t>
    </r>
    <r>
      <rPr>
        <sz val="11"/>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</si>
  <si>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rPr>
      <t>местного бюджета,</t>
    </r>
    <r>
      <rPr>
        <sz val="11"/>
        <rFont val="Times New Roman"/>
        <family val="1"/>
      </rPr>
      <t xml:space="preserve"> в целях софинансирования которых из бюджета Приморского края предоставляются субсидии</t>
    </r>
  </si>
  <si>
    <t>Общий объем на 2022 г</t>
  </si>
  <si>
    <t>2 02 25467 05 0000 150</t>
  </si>
  <si>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</si>
  <si>
    <t>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в целях софинансирования которых из бюджета Приморского края предоставляются субсидии</t>
  </si>
  <si>
    <t>Прочие межбюджетные трансферты общего характера (дотация на сбалансированность)</t>
  </si>
  <si>
    <t>Разница</t>
  </si>
  <si>
    <t>Субсидии бюджетам муниципальных образований Приморского края на капитальный ремонт оздоровительных лагерей, находящихся в собственности муниципальных образований</t>
  </si>
  <si>
    <t>Субсидии бюджетам муниципальных образований Приморского края на комплектование книжных фондов и обеспечение информационно - техническим оборудованием библиотек</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</si>
  <si>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</si>
  <si>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</si>
  <si>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</si>
  <si>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</si>
  <si>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в сфере повышения энергетической эффективности (администрация)</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</si>
  <si>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</si>
  <si>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</si>
  <si>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</si>
  <si>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</si>
  <si>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Субсидии бюджетам муниципальных образований на  капитальный ремонт оздоровительных лагерей, находящихся в собственности муниципальных образований (краевой бюджет)</t>
  </si>
  <si>
    <t>Расходы на  капитальный ремонт оздоровительных лагерей, находящихся в собственности муниципальных образований за счет средств местного бюджета, в целях софинансирования которых из бюджета Приморского края предоставляются субсидии</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</si>
  <si>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</si>
  <si>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</si>
  <si>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</si>
  <si>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</si>
  <si>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Иные межбюджетные трансферты (транспортные услуги населению)</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</si>
  <si>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</si>
  <si>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</si>
  <si>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</si>
  <si>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</si>
  <si>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</si>
  <si>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</si>
  <si>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</si>
  <si>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</si>
  <si>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</si>
  <si>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</si>
  <si>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</si>
  <si>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011Е593140</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</si>
  <si>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</si>
  <si>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</si>
  <si>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</si>
  <si>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</si>
  <si>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</si>
  <si>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</si>
  <si>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</si>
  <si>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</si>
  <si>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</si>
  <si>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</si>
  <si>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Мероприятия по предупреждению терроризма (администрация)</t>
  </si>
  <si>
    <t>Молодежная политика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</si>
  <si>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</si>
  <si>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</si>
  <si>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2 02 35260 05 0000 150</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</si>
  <si>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воспитания в семью</t>
  </si>
  <si>
    <t>202 35260 05 0000 150</t>
  </si>
  <si>
    <t>Меры социальной поддержки детей, оставшихся без попечения родителей, и лиц, принявших на воспитание в семью детей, оставшихся без попечения родителей</t>
  </si>
  <si>
    <t>Меры социальной поддержки педагогическим работникам муниципальных образовательных организаций Кировского муниципального района</t>
  </si>
  <si>
    <t>Выплата единовременного пособия при всех формах устройства детей, лишенных родительского попечения, в семью</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</si>
  <si>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</si>
  <si>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Меры по организации и обеспечению оздоровления и отдыха детей ( за исключением организации и обеспечение оздоровления и отдыха детей в каникулярное время)</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</si>
  <si>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</si>
  <si>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</si>
  <si>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</si>
  <si>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</si>
  <si>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</si>
  <si>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</si>
  <si>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Субсидии бюджетам муниципальных образований Приморского края на обеспечение граждан твердым топливом</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</si>
  <si>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</si>
  <si>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</si>
  <si>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</si>
  <si>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 xml:space="preserve">Мероприятия по развитию спортивной инфрастурктуры  (местный бюджет) </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</si>
  <si>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</si>
  <si>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</si>
  <si>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</si>
  <si>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</si>
  <si>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</si>
  <si>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</si>
  <si>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</si>
  <si>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</si>
  <si>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0640192480</t>
  </si>
  <si>
    <t>Реализация государственных полномочий по организации мероприятий при осуществлении деятельности по обращению с животными без владельцев</t>
  </si>
  <si>
    <t>1200012264</t>
  </si>
  <si>
    <t>Субвенции для финансового обеспечения переданных исполнительно-распорядительным органам муниципальных образований Приморского края государственных полномочий по составлению (изменению) списков кандидатов  в присяжные заседатели федеральных судов общей юрисдикции</t>
  </si>
  <si>
    <t>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t>
  </si>
  <si>
    <t>Субвенции бюджетам муниципальных образований Приморского края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</si>
  <si>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муниципальных образований Приморского края на организацию и обеспечение оздоровления и отдыха детей Приморского края (за исключением организации отдыха детей в каникулярное время)</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</si>
  <si>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</si>
  <si>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</si>
  <si>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</si>
  <si>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0110Б92040</t>
  </si>
  <si>
    <t>0140Б92030</t>
  </si>
  <si>
    <t>1400Б92620</t>
  </si>
  <si>
    <t>1000Б92390</t>
  </si>
  <si>
    <t>2  02 49999 05 0000 150</t>
  </si>
  <si>
    <t xml:space="preserve">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 а также в информировании граждан Российской Федерации о такой подготовке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</si>
  <si>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</si>
  <si>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</si>
  <si>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</si>
  <si>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</si>
  <si>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</si>
  <si>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Содействие в подготовке проведения общероссийского  голосования (местный бюджет)</t>
  </si>
  <si>
    <t>999W994020</t>
  </si>
  <si>
    <t>999W910170</t>
  </si>
  <si>
    <t>Мероприятия, направленные на предупреждение распространения новой коронавирусной инфекции</t>
  </si>
  <si>
    <t>9990010141</t>
  </si>
  <si>
    <t>0400040470</t>
  </si>
  <si>
    <t>0400040461</t>
  </si>
  <si>
    <t>0400040462</t>
  </si>
  <si>
    <t>0400040463</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</si>
  <si>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</si>
  <si>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</si>
  <si>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</si>
  <si>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</si>
  <si>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</si>
  <si>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</si>
  <si>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спорта(краевой бюджет)</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</si>
  <si>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1"/>
        <rFont val="Times New Roman"/>
        <family val="1"/>
      </rPr>
      <t>(краевой бюджет)</t>
    </r>
  </si>
  <si>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</si>
  <si>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</si>
  <si>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</si>
  <si>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</si>
  <si>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</si>
  <si>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Прочие субсидии бюджетам муниципальных районов
</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</si>
  <si>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</si>
  <si>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 </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</si>
  <si>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</si>
  <si>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 xml:space="preserve">Субсидии бюджетам муниципальных образований Приморского края на организацию физкультурно-спортивной работы по месту жительства </t>
  </si>
  <si>
    <t>2 02 15853 05 0000 150</t>
  </si>
  <si>
    <t>Дотации  бюджетам муниципальных районов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</si>
  <si>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</si>
  <si>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</si>
  <si>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</si>
  <si>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</si>
  <si>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</si>
  <si>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</si>
  <si>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Мероприятия, направленные на ликвидацию чрезвычайной ситуации в связи с появлением очагов африканской чумы свиней на территории Кировского муниципального района</t>
  </si>
  <si>
    <t>9990010142</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</si>
  <si>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</si>
  <si>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</si>
  <si>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</si>
  <si>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01100R3041</t>
  </si>
  <si>
    <t>0110053030</t>
  </si>
  <si>
    <t xml:space="preserve">Объемы доходов районного бюджета на  2021 год 
</t>
  </si>
  <si>
    <t>1 05 01000 01 0000 110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</si>
  <si>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</si>
  <si>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 xml:space="preserve"> бюджетных ассигнований на исполнение публичных нормативных обязательств на 2021-2023  годы  по разделам</t>
  </si>
  <si>
    <t>Распределение бюджетных ассигнований из районного бюджета на 2021 год по муниципальным программам Кировского  муниципального района и непрограммным направлениям деятельности</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</si>
  <si>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</si>
  <si>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</si>
  <si>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</si>
  <si>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</si>
  <si>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</si>
  <si>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</si>
  <si>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15030М0820</t>
  </si>
  <si>
    <t>Мероприятия по переподготовке и повышению кадров</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</si>
  <si>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</si>
  <si>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0110Б92340</t>
  </si>
  <si>
    <t>06100Б0000</t>
  </si>
  <si>
    <t>955</t>
  </si>
  <si>
    <t>956</t>
  </si>
  <si>
    <t>957</t>
  </si>
  <si>
    <t>958</t>
  </si>
  <si>
    <t>963</t>
  </si>
  <si>
    <t>967</t>
  </si>
  <si>
    <t>971</t>
  </si>
  <si>
    <t>974</t>
  </si>
  <si>
    <t>978</t>
  </si>
  <si>
    <t>979</t>
  </si>
  <si>
    <t>980</t>
  </si>
  <si>
    <t>983</t>
  </si>
  <si>
    <t>984</t>
  </si>
  <si>
    <t>985</t>
  </si>
  <si>
    <t>986</t>
  </si>
  <si>
    <t>987</t>
  </si>
  <si>
    <t>988</t>
  </si>
  <si>
    <t>989</t>
  </si>
  <si>
    <t>990</t>
  </si>
  <si>
    <t>991</t>
  </si>
  <si>
    <t>992</t>
  </si>
  <si>
    <t>993</t>
  </si>
  <si>
    <t>994</t>
  </si>
  <si>
    <t>995</t>
  </si>
  <si>
    <t>996</t>
  </si>
  <si>
    <t>997</t>
  </si>
  <si>
    <t>998</t>
  </si>
  <si>
    <t>999</t>
  </si>
  <si>
    <t>1000</t>
  </si>
  <si>
    <t>1001</t>
  </si>
  <si>
    <t>1004</t>
  </si>
  <si>
    <t>1007</t>
  </si>
  <si>
    <t>1008</t>
  </si>
  <si>
    <t>1009</t>
  </si>
  <si>
    <t>1010</t>
  </si>
  <si>
    <t>1013</t>
  </si>
  <si>
    <t>1015</t>
  </si>
  <si>
    <t>1020</t>
  </si>
  <si>
    <t>1025</t>
  </si>
  <si>
    <t>Распределение бюджетных ассигнований из районного бюджета на 2022 год по муниципальным программам Кировского  муниципального района и непрограммным направлениям деятельности</t>
  </si>
  <si>
    <t>Муниципальная программа «Комплексное развитие сельских территорий в Кировском муниципальном районе на 2021-2027 годы»</t>
  </si>
  <si>
    <t>Муниципальная программа "Противодействия коррупции в администрации Кировского муниципального района на 2021-2022 годы"</t>
  </si>
  <si>
    <t xml:space="preserve">Источники внутреннего финансирования дефицита районного бюджета на 2021 год </t>
  </si>
  <si>
    <t>Сумма на 2021 г.</t>
  </si>
  <si>
    <t xml:space="preserve">Муниципальная программа «Комплексное развитие сельских территорий" в Кировском муниципальном районе на 2021-2027 годы </t>
  </si>
  <si>
    <t xml:space="preserve">бюджетных ассигнований из районного бюджета на 2021 год в ведомственной структуре расходов районного бюджета </t>
  </si>
  <si>
    <t xml:space="preserve">бюджетных ассигнований из районного бюджета на 2021  год  по разделам, </t>
  </si>
  <si>
    <t xml:space="preserve">Муниципальная программа "Комплексное развитие сельских территорий" в Кировском муниципальном районе на 2021-2027 годы </t>
  </si>
  <si>
    <t>Общий объем на 2023 г</t>
  </si>
  <si>
    <t>Условно утвержденные расходы</t>
  </si>
  <si>
    <t>Сумма на 
2021 год (первое чтение)</t>
  </si>
  <si>
    <t xml:space="preserve">Субсидии на обеспечение развития и укрепления материально-технической базы муниципальных домов культуры в населенных пунктах с числом жителей до 50 тысяч человек </t>
  </si>
  <si>
    <t>2 02 35469 05 0000 150</t>
  </si>
  <si>
    <t>Субвенции на проведение Всероссийской переписи населения</t>
  </si>
  <si>
    <t>Единая субвенция местным бюджетам из краевого бюджета</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</si>
  <si>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</si>
  <si>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</si>
  <si>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</si>
  <si>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</si>
  <si>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</si>
  <si>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Непрограммные направления деятельности органов местного самоуправления (общее  образование)</t>
  </si>
  <si>
    <t>Выполнение наказов избирателей(дошкольное образование)</t>
  </si>
  <si>
    <t>0110030041</t>
  </si>
  <si>
    <t>Мероприятия по развитию и поддержке образовательных учреждений (наказы избирателей)</t>
  </si>
  <si>
    <t>0120030041</t>
  </si>
  <si>
    <t>0140030041</t>
  </si>
  <si>
    <t>Мероприятия по развитию и поддержке внешкольного образования МБУ ДОД "ДЮЦ" (наказы избирателей)</t>
  </si>
  <si>
    <t>Субсидии бюджетным учреждениям (НАКАЗЫ ИЗБИРАТЕЛЕЙ)</t>
  </si>
  <si>
    <t>Мероприятия по развитию и поддержке образовательных учреждений (НАКАЗЫ ИЗБИРАТЕЛЕЙ)</t>
  </si>
  <si>
    <t>Мероприятия по на создание новых мест в образовательных организациях различных типов для реализации дополнительных общеразвиваюших программ всех направленностей</t>
  </si>
  <si>
    <t>026E254910</t>
  </si>
  <si>
    <t>Субсидии бюджетам муниципальных образований Приморского края на создание новых мест в образовательных организациях различных типов для реализации дополнительных общеразвиваюших программ всех направленностей (краевой бюджет)</t>
  </si>
  <si>
    <t>026E254911</t>
  </si>
  <si>
    <t>Субсидии бюджетам муниципальных образований Приморского края на создание новых мест в образовательных организациях различных типов для реализации дополнительных общеразвиваюших программ всех направленностей (местный бюджет)</t>
  </si>
  <si>
    <t>Мероприятия по развитию и поддержке дошкольных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</si>
  <si>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</si>
  <si>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 xml:space="preserve">Сумма на 
2021 год </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</si>
  <si>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</si>
  <si>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2 02 36900 05 0000 150</t>
  </si>
  <si>
    <t>Единая субвенция бюджетам муниципальных районов из бюджета субъекта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</si>
  <si>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 же средства от продажи права на заключение договоров аренды указанных участков</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</si>
  <si>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</si>
  <si>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</si>
  <si>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</si>
  <si>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</si>
  <si>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</si>
  <si>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</si>
  <si>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</si>
  <si>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</si>
  <si>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</si>
  <si>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</si>
  <si>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</si>
  <si>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Приложение № 4</t>
  </si>
  <si>
    <t xml:space="preserve">                                                                                             Приложение  № 5</t>
  </si>
  <si>
    <t>0160020041</t>
  </si>
  <si>
    <t>Организация и обеспечение оздоровления и летнего отдыха детей Кировского муниципального района за счет средств местного бюджета</t>
  </si>
  <si>
    <t>Возмещение затрат или недополученных доходов от предоставления транспортных услуг населению в границах Кировского  муниципального района (изготовление бланков по пассажирским перевозкам)</t>
  </si>
  <si>
    <t>Субсидии бюджетным учреждениям (МБОУ ДО "ДЮСШ "Патриот" п. Кировский)</t>
  </si>
  <si>
    <t>0140020046</t>
  </si>
  <si>
    <t>0140020047</t>
  </si>
  <si>
    <t>0140020048</t>
  </si>
  <si>
    <t>0140020049</t>
  </si>
  <si>
    <t>0140020050</t>
  </si>
  <si>
    <t>0140020051</t>
  </si>
  <si>
    <t>0140020052</t>
  </si>
  <si>
    <t>0140020053</t>
  </si>
  <si>
    <t>004</t>
  </si>
  <si>
    <t>005</t>
  </si>
  <si>
    <t>007</t>
  </si>
  <si>
    <t>008</t>
  </si>
  <si>
    <t>009</t>
  </si>
  <si>
    <t>010</t>
  </si>
  <si>
    <t>Субсидии бюджетным учреждениям на создание Муниципального опорного центра дополнительного образования детей Кировского муниципального района (МБОУ ДО "ДЮСШ "Патриот" п. Кировский)</t>
  </si>
  <si>
    <t>3 02 29999 05 0000 150</t>
  </si>
  <si>
    <t>4 02 29999 05 0000 150</t>
  </si>
  <si>
    <t>Субсидии  из краевого бюджета бюджетам муниципальных образований Приморского края на укрепление материально-технической базы муниципальных домов культуры</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</si>
  <si>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</si>
  <si>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</si>
  <si>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</si>
  <si>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</si>
  <si>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</si>
  <si>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</si>
  <si>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</si>
  <si>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</si>
  <si>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</si>
  <si>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4 02 30024 05 0000 150</t>
  </si>
  <si>
    <t>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</si>
  <si>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</si>
  <si>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</si>
  <si>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</si>
  <si>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</si>
  <si>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</si>
  <si>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9990093190</t>
  </si>
  <si>
    <t>0300030364</t>
  </si>
  <si>
    <t>Субсидии бюджетным учреждениям  (МБОУ ДОД ДЮЦ)</t>
  </si>
  <si>
    <t>Субсидии бюджетным учреждениям (МБОУ ДО "ДЮСШ "Патриот" п. Кировский, МБОУ ДОД ДЮЦ)</t>
  </si>
  <si>
    <t xml:space="preserve">                                                                                             Приложение  № 5.1</t>
  </si>
  <si>
    <t>Приложение  № 6</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</si>
  <si>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2022 – 2024 годы</t>
  </si>
  <si>
    <t>Содействие в подготовке проведения выборов</t>
  </si>
  <si>
    <t>9990010190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</si>
  <si>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</si>
  <si>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</si>
  <si>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</si>
  <si>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Возмещение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</si>
  <si>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от 30.09.2021 г. №43 -НПА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</si>
</sst>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s>
  <fonts count="81">
    <font>
      <sz val="10"/>
      <name val="Arial Cyr"/>
      <family val="0"/>
    </font>
    <font>
      <sz val="8"/>
      <name val="Arial Cyr"/>
      <family val="0"/>
    </font>
    <font>
      <sz val="10"/>
      <name val="Times New Roman"/>
      <family val="1"/>
    </font>
    <font>
      <sz val="12"/>
      <name val="Times New Roman"/>
      <family val="1"/>
    </font>
    <font>
      <b/>
      <sz val="12"/>
      <name val="Times New Roman"/>
      <family val="1"/>
    </font>
    <font>
      <sz val="12"/>
      <name val="Times New Roman CE"/>
      <family val="1"/>
    </font>
    <font>
      <b/>
      <sz val="14"/>
      <name val="Times New Roman"/>
      <family val="1"/>
    </font>
    <font>
      <sz val="12"/>
      <name val="Arial Cyr"/>
      <family val="0"/>
    </font>
    <font>
      <b/>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Arial Cyr"/>
      <family val="0"/>
    </font>
    <font>
      <b/>
      <sz val="13"/>
      <name val="Times New Roman"/>
      <family val="1"/>
    </font>
    <font>
      <sz val="13"/>
      <name val="Times New Roman"/>
      <family val="1"/>
    </font>
    <font>
      <b/>
      <sz val="11"/>
      <name val="Arial Cyr"/>
      <family val="0"/>
    </font>
    <font>
      <b/>
      <sz val="10"/>
      <name val="Times New Roman"/>
      <family val="1"/>
    </font>
    <font>
      <sz val="9"/>
      <name val="Times New Roman"/>
      <family val="1"/>
    </font>
    <font>
      <sz val="12"/>
      <color indexed="8"/>
      <name val="Times New Roman"/>
      <family val="1"/>
    </font>
    <font>
      <b/>
      <sz val="12"/>
      <color indexed="8"/>
      <name val="Times New Roman"/>
      <family val="1"/>
    </font>
    <font>
      <sz val="14"/>
      <name val="Times New Roman"/>
      <family val="1"/>
    </font>
    <font>
      <sz val="9"/>
      <name val="Arial Cyr"/>
      <family val="0"/>
    </font>
    <font>
      <sz val="11"/>
      <name val="Arial Cyr"/>
      <family val="0"/>
    </font>
    <font>
      <b/>
      <sz val="9"/>
      <name val="Times New Roman"/>
      <family val="1"/>
    </font>
    <font>
      <i/>
      <sz val="12"/>
      <name val="Times New Roman"/>
      <family val="1"/>
    </font>
    <font>
      <i/>
      <sz val="10"/>
      <name val="Arial Cyr"/>
      <family val="0"/>
    </font>
    <font>
      <b/>
      <sz val="9"/>
      <name val="Arial Cyr"/>
      <family val="0"/>
    </font>
    <font>
      <sz val="11"/>
      <name val="Times New Roman CE"/>
      <family val="1"/>
    </font>
    <font>
      <i/>
      <sz val="11"/>
      <name val="Times New Roman"/>
      <family val="1"/>
    </font>
    <font>
      <sz val="8"/>
      <name val="Times New Roman"/>
      <family val="1"/>
    </font>
    <font>
      <b/>
      <i/>
      <sz val="10"/>
      <name val="Arial Cyr"/>
      <family val="0"/>
    </font>
    <font>
      <b/>
      <i/>
      <sz val="12"/>
      <name val="Times New Roman"/>
      <family val="1"/>
    </font>
    <font>
      <u val="single"/>
      <sz val="12"/>
      <name val="Times New Roman"/>
      <family val="1"/>
    </font>
    <font>
      <b/>
      <sz val="8"/>
      <name val="Arial Cyr"/>
      <family val="0"/>
    </font>
    <font>
      <b/>
      <i/>
      <sz val="11"/>
      <name val="Times New Roman"/>
      <family val="1"/>
    </font>
    <font>
      <u val="single"/>
      <sz val="11"/>
      <name val="Times New Roman"/>
      <family val="1"/>
    </font>
    <font>
      <i/>
      <sz val="11"/>
      <name val="Arial Cyr"/>
      <family val="0"/>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12"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32" borderId="0" applyNumberFormat="0" applyBorder="0" applyAlignment="0" applyProtection="0"/>
  </cellStyleXfs>
  <cellXfs count="335">
    <xf numFmtId="0" fontId="0" fillId="0" borderId="0" xfId="0" applyAlignment="1">
      <alignment/>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vertical="justify"/>
    </xf>
    <xf numFmtId="0" fontId="5" fillId="0" borderId="0" xfId="0" applyFont="1" applyFill="1" applyAlignment="1">
      <alignment/>
    </xf>
    <xf numFmtId="0" fontId="18"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18"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2" fillId="0" borderId="0" xfId="0" applyFont="1" applyFill="1" applyBorder="1" applyAlignment="1">
      <alignment/>
    </xf>
    <xf numFmtId="0" fontId="26" fillId="0" borderId="0" xfId="0" applyFont="1" applyFill="1" applyAlignment="1">
      <alignment/>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horizontal="center" vertical="center" wrapText="1"/>
    </xf>
    <xf numFmtId="0" fontId="8" fillId="0" borderId="0" xfId="0" applyFont="1" applyFill="1" applyAlignment="1">
      <alignment/>
    </xf>
    <xf numFmtId="0" fontId="3" fillId="0" borderId="10" xfId="0" applyFont="1" applyFill="1" applyBorder="1" applyAlignment="1">
      <alignment horizontal="center" vertical="center" wrapText="1"/>
    </xf>
    <xf numFmtId="188" fontId="3"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shrinkToFit="1"/>
    </xf>
    <xf numFmtId="0" fontId="23" fillId="0" borderId="0" xfId="0" applyFont="1" applyFill="1" applyAlignment="1">
      <alignment/>
    </xf>
    <xf numFmtId="0" fontId="28" fillId="0" borderId="0" xfId="0" applyFont="1" applyFill="1" applyAlignment="1">
      <alignment/>
    </xf>
    <xf numFmtId="0" fontId="3" fillId="0" borderId="10" xfId="0" applyFont="1" applyFill="1" applyBorder="1" applyAlignment="1">
      <alignment vertical="center" wrapText="1"/>
    </xf>
    <xf numFmtId="49" fontId="25" fillId="0" borderId="10" xfId="0" applyNumberFormat="1" applyFont="1" applyFill="1" applyBorder="1" applyAlignment="1">
      <alignment horizontal="center" vertical="center" wrapText="1" shrinkToFit="1"/>
    </xf>
    <xf numFmtId="0" fontId="3" fillId="0" borderId="0" xfId="0" applyFont="1" applyFill="1" applyAlignment="1">
      <alignment/>
    </xf>
    <xf numFmtId="0" fontId="3"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33" fillId="0" borderId="10" xfId="0" applyFont="1" applyFill="1" applyBorder="1" applyAlignment="1">
      <alignment vertical="center" wrapText="1"/>
    </xf>
    <xf numFmtId="0" fontId="0" fillId="0" borderId="0" xfId="0" applyFont="1" applyFill="1" applyAlignment="1">
      <alignment/>
    </xf>
    <xf numFmtId="0" fontId="6" fillId="0" borderId="0" xfId="0" applyFont="1" applyFill="1" applyAlignment="1">
      <alignment horizontal="center" vertical="center" wrapText="1"/>
    </xf>
    <xf numFmtId="49"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left" vertical="top" wrapText="1"/>
    </xf>
    <xf numFmtId="0" fontId="16" fillId="0" borderId="0" xfId="0" applyFont="1" applyFill="1" applyAlignment="1">
      <alignment/>
    </xf>
    <xf numFmtId="4" fontId="23" fillId="0" borderId="0" xfId="0" applyNumberFormat="1" applyFont="1" applyFill="1" applyAlignment="1">
      <alignment/>
    </xf>
    <xf numFmtId="0" fontId="10" fillId="0" borderId="0" xfId="0" applyFont="1" applyFill="1" applyAlignment="1">
      <alignment/>
    </xf>
    <xf numFmtId="0" fontId="22" fillId="0" borderId="0" xfId="0" applyFont="1" applyFill="1" applyAlignment="1">
      <alignment/>
    </xf>
    <xf numFmtId="0" fontId="24" fillId="0" borderId="0" xfId="0" applyFont="1" applyFill="1" applyAlignment="1">
      <alignment/>
    </xf>
    <xf numFmtId="0" fontId="32" fillId="0" borderId="10" xfId="0" applyFont="1" applyFill="1" applyBorder="1" applyAlignment="1">
      <alignment vertical="center" wrapText="1"/>
    </xf>
    <xf numFmtId="0" fontId="2" fillId="0" borderId="0" xfId="0" applyFont="1" applyFill="1" applyAlignment="1">
      <alignment horizontal="right"/>
    </xf>
    <xf numFmtId="0" fontId="10" fillId="0" borderId="10" xfId="0" applyFont="1" applyFill="1" applyBorder="1" applyAlignment="1">
      <alignment vertical="top" wrapText="1"/>
    </xf>
    <xf numFmtId="4" fontId="10" fillId="0" borderId="0" xfId="0" applyNumberFormat="1" applyFont="1" applyFill="1" applyAlignment="1">
      <alignment/>
    </xf>
    <xf numFmtId="0" fontId="25" fillId="0" borderId="10" xfId="0" applyFont="1" applyFill="1" applyBorder="1" applyAlignment="1">
      <alignment vertical="top" wrapText="1"/>
    </xf>
    <xf numFmtId="188" fontId="10" fillId="0" borderId="10" xfId="0" applyNumberFormat="1" applyFont="1" applyFill="1" applyBorder="1" applyAlignment="1">
      <alignment horizontal="center" vertical="center" wrapText="1"/>
    </xf>
    <xf numFmtId="188" fontId="10" fillId="0" borderId="0" xfId="0" applyNumberFormat="1" applyFont="1" applyFill="1" applyAlignment="1">
      <alignment/>
    </xf>
    <xf numFmtId="188" fontId="23" fillId="0" borderId="0" xfId="0" applyNumberFormat="1" applyFont="1" applyFill="1" applyAlignment="1">
      <alignment/>
    </xf>
    <xf numFmtId="0" fontId="10"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9" fillId="0" borderId="10" xfId="0" applyFont="1" applyFill="1" applyBorder="1" applyAlignment="1">
      <alignment vertical="center" wrapText="1"/>
    </xf>
    <xf numFmtId="0" fontId="29" fillId="0" borderId="10" xfId="0" applyFont="1" applyFill="1" applyBorder="1" applyAlignment="1">
      <alignment vertical="top" wrapText="1"/>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49" fontId="29"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left" vertical="top" wrapText="1"/>
    </xf>
    <xf numFmtId="0" fontId="32" fillId="0" borderId="10" xfId="0" applyFont="1" applyFill="1" applyBorder="1" applyAlignment="1">
      <alignment vertical="top" wrapText="1"/>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190" fontId="3" fillId="0" borderId="10" xfId="0" applyNumberFormat="1" applyFont="1" applyFill="1" applyBorder="1" applyAlignment="1">
      <alignment horizontal="center" vertical="center" wrapText="1"/>
    </xf>
    <xf numFmtId="190" fontId="25" fillId="0" borderId="10" xfId="0" applyNumberFormat="1" applyFont="1" applyFill="1" applyBorder="1" applyAlignment="1">
      <alignment horizontal="center" vertical="center" wrapText="1"/>
    </xf>
    <xf numFmtId="190" fontId="0" fillId="0" borderId="0" xfId="0" applyNumberFormat="1" applyFont="1" applyFill="1" applyAlignment="1">
      <alignment/>
    </xf>
    <xf numFmtId="0" fontId="23" fillId="0" borderId="0" xfId="0" applyFont="1" applyFill="1" applyAlignment="1">
      <alignment horizontal="left"/>
    </xf>
    <xf numFmtId="49" fontId="10" fillId="0" borderId="10" xfId="0" applyNumberFormat="1" applyFont="1" applyFill="1" applyBorder="1" applyAlignment="1">
      <alignment horizontal="center" vertical="center"/>
    </xf>
    <xf numFmtId="0" fontId="29" fillId="0" borderId="10" xfId="0" applyFont="1" applyFill="1" applyBorder="1" applyAlignment="1">
      <alignment horizontal="left" vertical="center" wrapText="1"/>
    </xf>
    <xf numFmtId="0" fontId="35" fillId="0" borderId="10" xfId="0" applyFont="1" applyFill="1" applyBorder="1" applyAlignment="1">
      <alignment vertical="top" wrapText="1"/>
    </xf>
    <xf numFmtId="49" fontId="35" fillId="0" borderId="10" xfId="0" applyNumberFormat="1" applyFont="1" applyFill="1" applyBorder="1" applyAlignment="1">
      <alignment horizontal="center" vertical="center" wrapText="1" shrinkToFit="1"/>
    </xf>
    <xf numFmtId="49" fontId="29" fillId="0" borderId="10" xfId="0" applyNumberFormat="1" applyFont="1" applyFill="1" applyBorder="1" applyAlignment="1">
      <alignment horizontal="center" vertical="center" wrapText="1"/>
    </xf>
    <xf numFmtId="0" fontId="35" fillId="0" borderId="10" xfId="0" applyFont="1" applyFill="1" applyBorder="1" applyAlignment="1">
      <alignment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shrinkToFit="1"/>
    </xf>
    <xf numFmtId="0" fontId="36" fillId="0" borderId="10" xfId="0" applyFont="1" applyFill="1" applyBorder="1" applyAlignment="1">
      <alignment vertical="center" wrapText="1"/>
    </xf>
    <xf numFmtId="0" fontId="9" fillId="0" borderId="10" xfId="0" applyFont="1" applyFill="1" applyBorder="1" applyAlignment="1">
      <alignment vertical="top" wrapText="1"/>
    </xf>
    <xf numFmtId="49" fontId="3" fillId="0" borderId="10" xfId="0" applyNumberFormat="1" applyFont="1" applyFill="1" applyBorder="1" applyAlignment="1">
      <alignment horizontal="center" vertical="center"/>
    </xf>
    <xf numFmtId="190" fontId="23" fillId="0" borderId="0" xfId="0" applyNumberFormat="1" applyFont="1" applyFill="1" applyAlignment="1">
      <alignment/>
    </xf>
    <xf numFmtId="190" fontId="10"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190" fontId="35" fillId="0" borderId="10" xfId="0" applyNumberFormat="1" applyFont="1" applyFill="1" applyBorder="1" applyAlignment="1">
      <alignment horizontal="center" vertical="center" wrapText="1"/>
    </xf>
    <xf numFmtId="0" fontId="9" fillId="0" borderId="0" xfId="0" applyFont="1" applyFill="1" applyAlignment="1">
      <alignment/>
    </xf>
    <xf numFmtId="183" fontId="10" fillId="0" borderId="0" xfId="0" applyNumberFormat="1" applyFont="1" applyFill="1" applyAlignment="1">
      <alignment/>
    </xf>
    <xf numFmtId="190" fontId="10" fillId="0" borderId="0" xfId="0" applyNumberFormat="1" applyFont="1" applyFill="1" applyAlignment="1">
      <alignment/>
    </xf>
    <xf numFmtId="190" fontId="9" fillId="0" borderId="10" xfId="0" applyNumberFormat="1" applyFont="1" applyFill="1" applyBorder="1" applyAlignment="1">
      <alignment horizontal="center"/>
    </xf>
    <xf numFmtId="190" fontId="9" fillId="0"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190" fontId="9" fillId="0" borderId="10" xfId="63" applyNumberFormat="1" applyFont="1" applyFill="1" applyBorder="1" applyAlignment="1">
      <alignment horizontal="center" vertical="center" wrapText="1"/>
    </xf>
    <xf numFmtId="190" fontId="10" fillId="0" borderId="10" xfId="63" applyNumberFormat="1" applyFont="1" applyFill="1" applyBorder="1" applyAlignment="1">
      <alignment horizontal="center" vertical="center" wrapText="1"/>
    </xf>
    <xf numFmtId="49" fontId="10" fillId="0" borderId="10" xfId="0" applyNumberFormat="1" applyFont="1" applyFill="1" applyBorder="1" applyAlignment="1">
      <alignment wrapText="1"/>
    </xf>
    <xf numFmtId="49" fontId="10" fillId="0" borderId="10" xfId="0" applyNumberFormat="1" applyFont="1" applyFill="1" applyBorder="1" applyAlignment="1">
      <alignment horizontal="left" vertical="center" wrapText="1"/>
    </xf>
    <xf numFmtId="0" fontId="29"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36" fillId="0" borderId="10" xfId="0" applyFont="1" applyFill="1" applyBorder="1" applyAlignment="1">
      <alignment vertical="center" wrapText="1"/>
    </xf>
    <xf numFmtId="0" fontId="29" fillId="0" borderId="10"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7" fillId="0" borderId="0" xfId="0" applyFont="1" applyFill="1" applyAlignment="1">
      <alignment/>
    </xf>
    <xf numFmtId="0" fontId="5" fillId="0" borderId="0" xfId="0" applyFont="1" applyFill="1" applyBorder="1" applyAlignment="1">
      <alignment/>
    </xf>
    <xf numFmtId="190" fontId="6" fillId="0" borderId="0" xfId="0" applyNumberFormat="1" applyFont="1" applyFill="1" applyAlignment="1">
      <alignment horizontal="center" vertical="center" wrapText="1"/>
    </xf>
    <xf numFmtId="190" fontId="10" fillId="0" borderId="10" xfId="0" applyNumberFormat="1" applyFont="1" applyFill="1" applyBorder="1" applyAlignment="1">
      <alignment horizontal="center" vertical="top"/>
    </xf>
    <xf numFmtId="190" fontId="10" fillId="0" borderId="10" xfId="0" applyNumberFormat="1" applyFont="1" applyFill="1" applyBorder="1" applyAlignment="1">
      <alignment horizontal="center" vertical="center" wrapText="1"/>
    </xf>
    <xf numFmtId="190" fontId="29" fillId="0" borderId="10" xfId="63" applyNumberFormat="1" applyFont="1" applyFill="1" applyBorder="1" applyAlignment="1">
      <alignment horizontal="center" vertical="center" wrapText="1"/>
    </xf>
    <xf numFmtId="0" fontId="10" fillId="0" borderId="0" xfId="0" applyFont="1" applyFill="1" applyAlignment="1">
      <alignment horizontal="right"/>
    </xf>
    <xf numFmtId="190" fontId="3" fillId="0" borderId="11" xfId="0" applyNumberFormat="1" applyFont="1" applyFill="1" applyBorder="1" applyAlignment="1">
      <alignment horizontal="center" vertical="center" wrapText="1"/>
    </xf>
    <xf numFmtId="190" fontId="32"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xf>
    <xf numFmtId="190" fontId="4" fillId="0" borderId="11"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190" fontId="33" fillId="0"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xf>
    <xf numFmtId="190" fontId="10" fillId="0" borderId="11" xfId="0" applyNumberFormat="1" applyFont="1" applyFill="1" applyBorder="1" applyAlignment="1">
      <alignment horizontal="center" vertical="center" wrapText="1"/>
    </xf>
    <xf numFmtId="190" fontId="9" fillId="0" borderId="11"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190" fontId="23" fillId="0" borderId="10" xfId="0" applyNumberFormat="1" applyFont="1" applyFill="1" applyBorder="1" applyAlignment="1">
      <alignment/>
    </xf>
    <xf numFmtId="182"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190" fontId="10" fillId="0" borderId="10" xfId="0" applyNumberFormat="1" applyFont="1" applyFill="1" applyBorder="1" applyAlignment="1">
      <alignment horizontal="center" vertical="center"/>
    </xf>
    <xf numFmtId="190"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35" fillId="0" borderId="10" xfId="0" applyFont="1" applyFill="1" applyBorder="1" applyAlignment="1">
      <alignment vertical="center" wrapText="1"/>
    </xf>
    <xf numFmtId="182" fontId="2" fillId="0" borderId="0" xfId="0" applyNumberFormat="1" applyFont="1" applyFill="1" applyAlignment="1">
      <alignment horizontal="right" vertical="center"/>
    </xf>
    <xf numFmtId="190" fontId="0" fillId="0" borderId="0" xfId="0" applyNumberFormat="1" applyFont="1" applyFill="1" applyAlignment="1">
      <alignment horizontal="center" vertical="center"/>
    </xf>
    <xf numFmtId="190" fontId="3" fillId="0" borderId="10" xfId="0" applyNumberFormat="1" applyFont="1" applyFill="1" applyBorder="1" applyAlignment="1">
      <alignment horizontal="center" vertical="center" wrapText="1"/>
    </xf>
    <xf numFmtId="0" fontId="33" fillId="0" borderId="10" xfId="0" applyFont="1" applyFill="1" applyBorder="1" applyAlignment="1">
      <alignment vertical="top" wrapText="1"/>
    </xf>
    <xf numFmtId="0" fontId="39" fillId="0" borderId="10" xfId="0" applyFont="1" applyFill="1" applyBorder="1" applyAlignment="1">
      <alignment vertical="center" wrapText="1"/>
    </xf>
    <xf numFmtId="0" fontId="36" fillId="0" borderId="10" xfId="0" applyFont="1" applyFill="1" applyBorder="1" applyAlignment="1">
      <alignment vertical="top" wrapText="1"/>
    </xf>
    <xf numFmtId="0" fontId="0" fillId="0" borderId="0" xfId="0" applyFont="1" applyFill="1" applyAlignment="1">
      <alignment/>
    </xf>
    <xf numFmtId="190" fontId="25"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right"/>
    </xf>
    <xf numFmtId="0" fontId="10" fillId="0" borderId="10" xfId="0" applyNumberFormat="1" applyFont="1" applyFill="1" applyBorder="1" applyAlignment="1">
      <alignment horizontal="center" vertical="top" wrapText="1"/>
    </xf>
    <xf numFmtId="190" fontId="2" fillId="0" borderId="10" xfId="0" applyNumberFormat="1" applyFont="1" applyFill="1" applyBorder="1" applyAlignment="1">
      <alignment horizontal="center" vertical="center" wrapText="1"/>
    </xf>
    <xf numFmtId="190" fontId="10" fillId="0" borderId="0" xfId="0" applyNumberFormat="1" applyFont="1" applyFill="1" applyBorder="1" applyAlignment="1">
      <alignment horizontal="center" vertical="center"/>
    </xf>
    <xf numFmtId="0" fontId="35" fillId="0" borderId="10" xfId="0" applyFont="1" applyFill="1" applyBorder="1" applyAlignment="1">
      <alignment horizontal="left" vertical="top" wrapText="1"/>
    </xf>
    <xf numFmtId="190" fontId="16" fillId="0" borderId="0" xfId="0" applyNumberFormat="1" applyFont="1" applyFill="1" applyAlignment="1">
      <alignment/>
    </xf>
    <xf numFmtId="0" fontId="3"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40" fillId="0" borderId="0" xfId="0" applyFont="1" applyFill="1" applyAlignment="1">
      <alignment/>
    </xf>
    <xf numFmtId="190" fontId="7" fillId="0" borderId="0" xfId="0" applyNumberFormat="1" applyFont="1" applyFill="1" applyAlignment="1">
      <alignment/>
    </xf>
    <xf numFmtId="190" fontId="3" fillId="0" borderId="10" xfId="0" applyNumberFormat="1" applyFont="1" applyFill="1" applyBorder="1" applyAlignment="1">
      <alignment horizontal="right"/>
    </xf>
    <xf numFmtId="190" fontId="25" fillId="0" borderId="10" xfId="0" applyNumberFormat="1" applyFont="1" applyFill="1" applyBorder="1" applyAlignment="1">
      <alignment horizontal="right"/>
    </xf>
    <xf numFmtId="190" fontId="7" fillId="0" borderId="10" xfId="0" applyNumberFormat="1" applyFont="1" applyFill="1" applyBorder="1" applyAlignment="1">
      <alignment horizontal="right"/>
    </xf>
    <xf numFmtId="188" fontId="7" fillId="0" borderId="0" xfId="0" applyNumberFormat="1" applyFont="1" applyFill="1" applyAlignment="1">
      <alignment/>
    </xf>
    <xf numFmtId="188" fontId="40" fillId="0" borderId="0" xfId="0" applyNumberFormat="1" applyFont="1" applyFill="1" applyAlignment="1">
      <alignment/>
    </xf>
    <xf numFmtId="4" fontId="7" fillId="0" borderId="0" xfId="0" applyNumberFormat="1" applyFont="1" applyFill="1" applyAlignment="1">
      <alignment/>
    </xf>
    <xf numFmtId="183" fontId="7" fillId="0" borderId="0" xfId="0" applyNumberFormat="1" applyFont="1" applyFill="1" applyAlignment="1">
      <alignment/>
    </xf>
    <xf numFmtId="49" fontId="7" fillId="0" borderId="0" xfId="0" applyNumberFormat="1" applyFont="1" applyFill="1" applyAlignment="1">
      <alignment/>
    </xf>
    <xf numFmtId="49" fontId="41" fillId="0" borderId="0" xfId="0" applyNumberFormat="1" applyFont="1" applyFill="1" applyAlignment="1">
      <alignment/>
    </xf>
    <xf numFmtId="0" fontId="7" fillId="0" borderId="0" xfId="0" applyFont="1" applyFill="1" applyAlignment="1">
      <alignment horizontal="center"/>
    </xf>
    <xf numFmtId="4" fontId="40" fillId="0" borderId="0" xfId="0" applyNumberFormat="1" applyFont="1" applyFill="1" applyAlignment="1">
      <alignment/>
    </xf>
    <xf numFmtId="0" fontId="42" fillId="0" borderId="0" xfId="0" applyFont="1" applyFill="1" applyAlignment="1">
      <alignment/>
    </xf>
    <xf numFmtId="188" fontId="42" fillId="0" borderId="0" xfId="0" applyNumberFormat="1" applyFont="1" applyFill="1" applyAlignment="1">
      <alignment/>
    </xf>
    <xf numFmtId="182" fontId="40" fillId="0" borderId="0" xfId="0" applyNumberFormat="1" applyFont="1" applyFill="1" applyAlignment="1">
      <alignment/>
    </xf>
    <xf numFmtId="0" fontId="13" fillId="0" borderId="0" xfId="0" applyFont="1" applyFill="1" applyAlignment="1">
      <alignment/>
    </xf>
    <xf numFmtId="194" fontId="7" fillId="0" borderId="0" xfId="0" applyNumberFormat="1" applyFont="1" applyFill="1" applyAlignment="1">
      <alignment/>
    </xf>
    <xf numFmtId="0" fontId="43" fillId="0" borderId="0" xfId="0" applyFont="1" applyFill="1" applyAlignment="1">
      <alignment/>
    </xf>
    <xf numFmtId="188" fontId="13" fillId="0" borderId="0" xfId="0" applyNumberFormat="1" applyFont="1" applyFill="1" applyAlignment="1">
      <alignment/>
    </xf>
    <xf numFmtId="49" fontId="25"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ont="1" applyFill="1" applyAlignment="1">
      <alignment horizontal="center"/>
    </xf>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0" fontId="35" fillId="0" borderId="10" xfId="0" applyFont="1" applyFill="1" applyBorder="1" applyAlignment="1">
      <alignment horizontal="center" vertical="center" wrapText="1"/>
    </xf>
    <xf numFmtId="190" fontId="35" fillId="0" borderId="10" xfId="63" applyNumberFormat="1" applyFont="1" applyFill="1" applyBorder="1" applyAlignment="1">
      <alignment horizontal="center" vertical="center" wrapText="1"/>
    </xf>
    <xf numFmtId="190" fontId="7" fillId="0" borderId="0" xfId="0" applyNumberFormat="1" applyFont="1" applyFill="1" applyAlignment="1">
      <alignment vertical="center"/>
    </xf>
    <xf numFmtId="0" fontId="7" fillId="0" borderId="0" xfId="0" applyFont="1" applyFill="1" applyAlignment="1">
      <alignment vertical="center"/>
    </xf>
    <xf numFmtId="190" fontId="40" fillId="0" borderId="0" xfId="0" applyNumberFormat="1" applyFont="1" applyFill="1" applyAlignment="1">
      <alignment/>
    </xf>
    <xf numFmtId="190" fontId="10" fillId="0" borderId="0" xfId="0" applyNumberFormat="1" applyFont="1" applyFill="1" applyBorder="1" applyAlignment="1">
      <alignment horizontal="center" vertical="center" wrapText="1"/>
    </xf>
    <xf numFmtId="0" fontId="13" fillId="0" borderId="0" xfId="0" applyFont="1" applyFill="1" applyAlignment="1">
      <alignment vertical="center"/>
    </xf>
    <xf numFmtId="190" fontId="13" fillId="0" borderId="0" xfId="0" applyNumberFormat="1" applyFont="1" applyFill="1" applyAlignment="1">
      <alignment/>
    </xf>
    <xf numFmtId="188" fontId="23" fillId="0" borderId="0" xfId="0" applyNumberFormat="1" applyFont="1" applyFill="1" applyAlignment="1">
      <alignment vertical="center"/>
    </xf>
    <xf numFmtId="188" fontId="16" fillId="0" borderId="0" xfId="0" applyNumberFormat="1" applyFont="1" applyFill="1" applyAlignment="1">
      <alignment/>
    </xf>
    <xf numFmtId="0" fontId="25" fillId="0" borderId="10" xfId="0" applyFont="1" applyFill="1" applyBorder="1" applyAlignment="1">
      <alignment horizontal="left" vertical="top" wrapText="1"/>
    </xf>
    <xf numFmtId="0" fontId="3" fillId="0" borderId="0" xfId="0" applyFont="1" applyFill="1" applyAlignment="1">
      <alignment horizontal="left"/>
    </xf>
    <xf numFmtId="0" fontId="2" fillId="0" borderId="0" xfId="0" applyFont="1" applyFill="1" applyAlignment="1">
      <alignment/>
    </xf>
    <xf numFmtId="0" fontId="3" fillId="0" borderId="0" xfId="0" applyFont="1" applyFill="1" applyAlignment="1">
      <alignment horizontal="left" vertical="justify"/>
    </xf>
    <xf numFmtId="182" fontId="0" fillId="0" borderId="0" xfId="0" applyNumberFormat="1" applyFont="1" applyFill="1" applyAlignment="1">
      <alignment/>
    </xf>
    <xf numFmtId="183"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88" fontId="10" fillId="0" borderId="11" xfId="0" applyNumberFormat="1" applyFont="1" applyFill="1" applyBorder="1" applyAlignment="1">
      <alignment horizontal="center" vertical="center" wrapText="1"/>
    </xf>
    <xf numFmtId="188" fontId="9" fillId="0" borderId="11" xfId="0" applyNumberFormat="1" applyFont="1" applyFill="1" applyBorder="1" applyAlignment="1">
      <alignment horizontal="center" vertical="center" wrapText="1"/>
    </xf>
    <xf numFmtId="176" fontId="0" fillId="0" borderId="0" xfId="0" applyNumberFormat="1" applyFont="1" applyFill="1" applyAlignment="1">
      <alignment/>
    </xf>
    <xf numFmtId="49" fontId="0" fillId="0" borderId="0" xfId="0" applyNumberFormat="1" applyFont="1" applyFill="1" applyAlignment="1">
      <alignment/>
    </xf>
    <xf numFmtId="2" fontId="0" fillId="0" borderId="0" xfId="0" applyNumberFormat="1" applyFont="1" applyFill="1" applyAlignment="1">
      <alignment/>
    </xf>
    <xf numFmtId="0" fontId="28" fillId="0" borderId="0" xfId="0" applyFont="1" applyFill="1" applyAlignment="1">
      <alignment horizontal="right"/>
    </xf>
    <xf numFmtId="190" fontId="23" fillId="0" borderId="0" xfId="0" applyNumberFormat="1" applyFont="1" applyFill="1" applyAlignment="1">
      <alignment horizontal="center" vertical="center"/>
    </xf>
    <xf numFmtId="190" fontId="23" fillId="0" borderId="0" xfId="0" applyNumberFormat="1" applyFont="1" applyFill="1" applyBorder="1" applyAlignment="1">
      <alignment/>
    </xf>
    <xf numFmtId="190" fontId="9" fillId="0" borderId="10" xfId="0" applyNumberFormat="1" applyFont="1" applyFill="1" applyBorder="1" applyAlignment="1">
      <alignment horizontal="center" vertical="top"/>
    </xf>
    <xf numFmtId="0" fontId="0" fillId="0" borderId="0" xfId="0" applyFont="1" applyFill="1" applyAlignment="1">
      <alignment vertical="center"/>
    </xf>
    <xf numFmtId="190" fontId="10" fillId="0" borderId="0" xfId="63" applyNumberFormat="1" applyFont="1" applyFill="1" applyBorder="1" applyAlignment="1">
      <alignment horizontal="center" vertical="center" wrapText="1"/>
    </xf>
    <xf numFmtId="190" fontId="10" fillId="0" borderId="10" xfId="0" applyNumberFormat="1" applyFont="1" applyFill="1" applyBorder="1" applyAlignment="1">
      <alignment horizontal="center" vertical="center"/>
    </xf>
    <xf numFmtId="49" fontId="44" fillId="0" borderId="0" xfId="0" applyNumberFormat="1" applyFont="1" applyFill="1" applyAlignment="1">
      <alignment/>
    </xf>
    <xf numFmtId="190" fontId="0" fillId="0" borderId="0" xfId="0" applyNumberFormat="1" applyFill="1" applyAlignment="1">
      <alignment/>
    </xf>
    <xf numFmtId="0" fontId="44" fillId="0" borderId="0" xfId="0" applyFont="1" applyFill="1" applyAlignment="1">
      <alignment horizontal="left"/>
    </xf>
    <xf numFmtId="190" fontId="31" fillId="0" borderId="0" xfId="0" applyNumberFormat="1" applyFont="1" applyFill="1" applyAlignment="1">
      <alignment/>
    </xf>
    <xf numFmtId="0" fontId="0" fillId="0" borderId="0" xfId="0" applyFill="1" applyAlignment="1">
      <alignment/>
    </xf>
    <xf numFmtId="190" fontId="35" fillId="0" borderId="10" xfId="0" applyNumberFormat="1" applyFont="1" applyFill="1" applyBorder="1" applyAlignment="1">
      <alignment horizontal="center" vertical="center" wrapText="1"/>
    </xf>
    <xf numFmtId="190" fontId="2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0" fontId="10"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vertical="top" wrapText="1"/>
    </xf>
    <xf numFmtId="0" fontId="3" fillId="0" borderId="0" xfId="0" applyFont="1" applyFill="1" applyAlignment="1">
      <alignment/>
    </xf>
    <xf numFmtId="0" fontId="3" fillId="0" borderId="0" xfId="0" applyFont="1" applyFill="1" applyAlignment="1">
      <alignment horizontal="center"/>
    </xf>
    <xf numFmtId="0" fontId="6" fillId="0" borderId="0" xfId="0" applyFont="1" applyFill="1" applyBorder="1" applyAlignment="1">
      <alignment horizontal="center" vertical="justify" wrapText="1"/>
    </xf>
    <xf numFmtId="0" fontId="3" fillId="0" borderId="0" xfId="0" applyFont="1" applyFill="1" applyBorder="1" applyAlignment="1">
      <alignment horizontal="right" vertical="justify" wrapText="1"/>
    </xf>
    <xf numFmtId="0" fontId="15" fillId="0" borderId="0" xfId="0" applyFont="1" applyFill="1" applyBorder="1" applyAlignment="1">
      <alignment horizontal="left" vertical="justify" wrapText="1"/>
    </xf>
    <xf numFmtId="0" fontId="14" fillId="0" borderId="0" xfId="0" applyFont="1" applyFill="1" applyBorder="1" applyAlignment="1">
      <alignment horizontal="center" vertical="justify"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188" fontId="0" fillId="0" borderId="0" xfId="0" applyNumberFormat="1" applyFill="1" applyAlignment="1">
      <alignment/>
    </xf>
    <xf numFmtId="0" fontId="0" fillId="0" borderId="0" xfId="0" applyFont="1" applyFill="1" applyAlignment="1">
      <alignment/>
    </xf>
    <xf numFmtId="190" fontId="10" fillId="0" borderId="10" xfId="63"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44" fontId="3" fillId="0" borderId="0" xfId="43" applyFont="1" applyFill="1" applyAlignment="1">
      <alignment horizontal="right"/>
    </xf>
    <xf numFmtId="0" fontId="3" fillId="0" borderId="0" xfId="0" applyFont="1" applyFill="1" applyAlignment="1">
      <alignment horizontal="right"/>
    </xf>
    <xf numFmtId="0" fontId="6" fillId="0" borderId="0" xfId="0" applyFont="1" applyFill="1" applyBorder="1" applyAlignment="1">
      <alignment horizontal="center" vertical="justify"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justify" wrapText="1"/>
    </xf>
    <xf numFmtId="0" fontId="9" fillId="0" borderId="10" xfId="0" applyFont="1" applyFill="1" applyBorder="1" applyAlignment="1">
      <alignment horizontal="center" vertical="center"/>
    </xf>
    <xf numFmtId="0" fontId="3" fillId="0" borderId="0" xfId="0" applyFont="1" applyFill="1" applyAlignment="1">
      <alignment horizontal="right"/>
    </xf>
    <xf numFmtId="0" fontId="0" fillId="0" borderId="0" xfId="0" applyFont="1" applyFill="1" applyAlignment="1">
      <alignment/>
    </xf>
    <xf numFmtId="0" fontId="6" fillId="0" borderId="0" xfId="0" applyFont="1" applyFill="1" applyAlignment="1">
      <alignment horizontal="center" vertical="justify" wrapText="1"/>
    </xf>
    <xf numFmtId="0" fontId="0" fillId="0" borderId="0" xfId="0" applyFont="1" applyFill="1" applyAlignment="1">
      <alignment horizontal="center"/>
    </xf>
    <xf numFmtId="49" fontId="2" fillId="0" borderId="13" xfId="0" applyNumberFormat="1" applyFont="1" applyFill="1" applyBorder="1" applyAlignment="1">
      <alignment horizontal="center"/>
    </xf>
    <xf numFmtId="0" fontId="4" fillId="0" borderId="0" xfId="0" applyFont="1" applyFill="1" applyAlignment="1">
      <alignment horizontal="center" vertical="center" wrapText="1"/>
    </xf>
    <xf numFmtId="0" fontId="28"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wrapText="1"/>
    </xf>
    <xf numFmtId="0" fontId="5" fillId="0" borderId="0" xfId="0" applyFont="1" applyFill="1" applyAlignment="1">
      <alignment horizontal="right"/>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190" fontId="3" fillId="0" borderId="12" xfId="0" applyNumberFormat="1"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lignment horizontal="right" wrapText="1"/>
    </xf>
    <xf numFmtId="0" fontId="3" fillId="0" borderId="10" xfId="0" applyFont="1" applyFill="1" applyBorder="1" applyAlignment="1">
      <alignment horizontal="center" vertical="center" wrapText="1"/>
    </xf>
    <xf numFmtId="0" fontId="40" fillId="0" borderId="0" xfId="0" applyFont="1" applyFill="1" applyAlignment="1">
      <alignment horizontal="center" vertical="center"/>
    </xf>
    <xf numFmtId="0" fontId="7" fillId="0" borderId="0" xfId="0" applyFont="1" applyFill="1" applyAlignment="1">
      <alignment horizontal="center" vertical="center"/>
    </xf>
    <xf numFmtId="182" fontId="7" fillId="0" borderId="0" xfId="0" applyNumberFormat="1" applyFont="1" applyFill="1" applyAlignment="1">
      <alignment/>
    </xf>
    <xf numFmtId="0" fontId="25" fillId="0" borderId="10" xfId="0" applyFont="1" applyFill="1" applyBorder="1" applyAlignment="1">
      <alignment horizontal="left" vertical="center" wrapText="1"/>
    </xf>
    <xf numFmtId="49" fontId="3" fillId="0" borderId="10" xfId="0" applyNumberFormat="1" applyFont="1" applyFill="1" applyBorder="1" applyAlignment="1">
      <alignment wrapText="1"/>
    </xf>
    <xf numFmtId="49" fontId="25" fillId="0" borderId="0" xfId="0" applyNumberFormat="1" applyFont="1" applyFill="1" applyBorder="1" applyAlignment="1">
      <alignment horizontal="center" vertical="center" wrapText="1" shrinkToFit="1"/>
    </xf>
    <xf numFmtId="192" fontId="7" fillId="0" borderId="0" xfId="0" applyNumberFormat="1" applyFont="1" applyFill="1" applyAlignment="1">
      <alignment/>
    </xf>
    <xf numFmtId="0" fontId="44" fillId="0" borderId="0" xfId="0" applyFont="1" applyFill="1" applyAlignment="1">
      <alignment/>
    </xf>
    <xf numFmtId="0" fontId="32" fillId="0" borderId="0" xfId="0" applyFont="1" applyFill="1" applyAlignment="1">
      <alignment/>
    </xf>
    <xf numFmtId="182" fontId="23" fillId="0" borderId="0" xfId="0" applyNumberFormat="1" applyFont="1" applyFill="1" applyAlignment="1">
      <alignment/>
    </xf>
    <xf numFmtId="0" fontId="23" fillId="0" borderId="0" xfId="0" applyFont="1" applyFill="1" applyAlignment="1">
      <alignment horizontal="center" vertical="center"/>
    </xf>
    <xf numFmtId="0" fontId="38" fillId="0" borderId="0" xfId="0" applyFont="1" applyFill="1" applyAlignment="1">
      <alignment/>
    </xf>
    <xf numFmtId="0" fontId="23" fillId="0" borderId="0" xfId="0" applyFont="1" applyFill="1" applyAlignment="1">
      <alignment vertical="center"/>
    </xf>
    <xf numFmtId="0" fontId="80" fillId="0" borderId="0" xfId="0" applyFont="1" applyFill="1" applyAlignment="1">
      <alignment/>
    </xf>
    <xf numFmtId="49" fontId="29" fillId="0" borderId="10" xfId="0" applyNumberFormat="1" applyFont="1" applyFill="1" applyBorder="1" applyAlignment="1">
      <alignment horizontal="center" vertical="top" wrapText="1"/>
    </xf>
    <xf numFmtId="0" fontId="9" fillId="0" borderId="10" xfId="0" applyFont="1" applyFill="1" applyBorder="1" applyAlignment="1">
      <alignment horizontal="left"/>
    </xf>
    <xf numFmtId="49" fontId="9" fillId="0" borderId="10" xfId="0" applyNumberFormat="1" applyFont="1" applyFill="1" applyBorder="1" applyAlignment="1">
      <alignment/>
    </xf>
    <xf numFmtId="191" fontId="23" fillId="0" borderId="0" xfId="0" applyNumberFormat="1" applyFont="1" applyFill="1" applyAlignment="1">
      <alignment/>
    </xf>
    <xf numFmtId="0" fontId="6" fillId="0" borderId="0" xfId="0" applyFont="1" applyFill="1" applyAlignment="1">
      <alignment horizontal="center" vertical="center" wrapText="1"/>
    </xf>
    <xf numFmtId="190" fontId="2" fillId="0" borderId="0" xfId="0" applyNumberFormat="1" applyFont="1" applyFill="1" applyAlignment="1">
      <alignment horizontal="right"/>
    </xf>
    <xf numFmtId="0" fontId="30" fillId="0" borderId="10" xfId="0"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0" fontId="1" fillId="0" borderId="0" xfId="0" applyFont="1" applyFill="1" applyAlignment="1">
      <alignment/>
    </xf>
    <xf numFmtId="0" fontId="4" fillId="0" borderId="10" xfId="0" applyFont="1" applyFill="1" applyBorder="1" applyAlignment="1">
      <alignment horizontal="left" vertical="center" wrapText="1"/>
    </xf>
    <xf numFmtId="0" fontId="34" fillId="0" borderId="0" xfId="0" applyFont="1" applyFill="1" applyAlignment="1">
      <alignment/>
    </xf>
    <xf numFmtId="190" fontId="26" fillId="0" borderId="0" xfId="0" applyNumberFormat="1" applyFont="1" applyFill="1" applyAlignment="1">
      <alignment/>
    </xf>
    <xf numFmtId="4" fontId="9" fillId="0" borderId="0" xfId="0" applyNumberFormat="1" applyFont="1" applyFill="1" applyAlignment="1">
      <alignment/>
    </xf>
    <xf numFmtId="0" fontId="4" fillId="0" borderId="0" xfId="0" applyFont="1" applyFill="1" applyAlignment="1">
      <alignment/>
    </xf>
    <xf numFmtId="0" fontId="27" fillId="0" borderId="0" xfId="0" applyFont="1" applyFill="1" applyAlignment="1">
      <alignment/>
    </xf>
    <xf numFmtId="188" fontId="3" fillId="0" borderId="0" xfId="0" applyNumberFormat="1" applyFont="1" applyFill="1" applyAlignment="1">
      <alignment/>
    </xf>
    <xf numFmtId="0" fontId="2" fillId="0" borderId="0" xfId="0" applyFont="1" applyFill="1" applyAlignment="1">
      <alignment/>
    </xf>
    <xf numFmtId="4" fontId="24" fillId="0" borderId="0" xfId="0" applyNumberFormat="1" applyFont="1" applyFill="1" applyAlignment="1">
      <alignment/>
    </xf>
    <xf numFmtId="190" fontId="9" fillId="0" borderId="0" xfId="0" applyNumberFormat="1" applyFont="1" applyFill="1" applyAlignment="1">
      <alignment/>
    </xf>
    <xf numFmtId="0" fontId="9" fillId="0" borderId="10" xfId="0" applyFont="1" applyFill="1" applyBorder="1" applyAlignment="1">
      <alignment horizontal="left" vertical="top" wrapText="1"/>
    </xf>
    <xf numFmtId="183" fontId="23" fillId="0" borderId="0" xfId="0" applyNumberFormat="1" applyFont="1" applyFill="1" applyAlignment="1">
      <alignment/>
    </xf>
    <xf numFmtId="183" fontId="16" fillId="0" borderId="0" xfId="0" applyNumberFormat="1" applyFont="1" applyFill="1" applyAlignment="1">
      <alignment/>
    </xf>
    <xf numFmtId="0" fontId="2" fillId="0" borderId="0" xfId="0" applyFont="1" applyFill="1" applyAlignment="1">
      <alignment/>
    </xf>
    <xf numFmtId="190" fontId="3" fillId="0" borderId="0" xfId="0" applyNumberFormat="1" applyFont="1" applyFill="1" applyAlignment="1">
      <alignment/>
    </xf>
    <xf numFmtId="0" fontId="31" fillId="0" borderId="0" xfId="0" applyFont="1" applyFill="1" applyAlignment="1">
      <alignment horizontal="left"/>
    </xf>
    <xf numFmtId="49" fontId="10" fillId="0" borderId="0" xfId="0" applyNumberFormat="1" applyFont="1" applyFill="1" applyAlignment="1">
      <alignment/>
    </xf>
    <xf numFmtId="0" fontId="3" fillId="0" borderId="0" xfId="0" applyFont="1" applyFill="1" applyBorder="1" applyAlignment="1">
      <alignment/>
    </xf>
    <xf numFmtId="0" fontId="3" fillId="0" borderId="0" xfId="0" applyFont="1" applyFill="1" applyBorder="1" applyAlignment="1">
      <alignment vertical="top"/>
    </xf>
    <xf numFmtId="0" fontId="21" fillId="0" borderId="0" xfId="0" applyFont="1" applyFill="1" applyBorder="1" applyAlignment="1">
      <alignment/>
    </xf>
    <xf numFmtId="0" fontId="3"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2" fillId="0" borderId="0" xfId="0" applyFont="1" applyFill="1" applyAlignment="1">
      <alignment horizontal="center"/>
    </xf>
    <xf numFmtId="4" fontId="25" fillId="0" borderId="11"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wrapText="1"/>
    </xf>
    <xf numFmtId="2" fontId="3"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23"/>
  <sheetViews>
    <sheetView view="pageBreakPreview" zoomScaleSheetLayoutView="100" zoomScalePageLayoutView="0" workbookViewId="0" topLeftCell="A1">
      <selection activeCell="B4" sqref="B4:C4"/>
    </sheetView>
  </sheetViews>
  <sheetFormatPr defaultColWidth="9.00390625" defaultRowHeight="12.75"/>
  <cols>
    <col min="1" max="1" width="24.50390625" style="217" customWidth="1"/>
    <col min="2" max="2" width="43.625" style="217" customWidth="1"/>
    <col min="3" max="3" width="19.375" style="217" customWidth="1"/>
    <col min="4" max="4" width="11.625" style="217" bestFit="1" customWidth="1"/>
    <col min="5" max="16384" width="8.875" style="217" customWidth="1"/>
  </cols>
  <sheetData>
    <row r="1" spans="1:3" ht="15">
      <c r="A1" s="224"/>
      <c r="B1" s="225"/>
      <c r="C1" s="1" t="s">
        <v>179</v>
      </c>
    </row>
    <row r="2" spans="1:3" ht="16.5" customHeight="1">
      <c r="A2" s="224"/>
      <c r="B2" s="225"/>
      <c r="C2" s="1" t="s">
        <v>410</v>
      </c>
    </row>
    <row r="3" spans="1:3" ht="16.5" customHeight="1">
      <c r="A3" s="224"/>
      <c r="B3" s="241" t="s">
        <v>411</v>
      </c>
      <c r="C3" s="241"/>
    </row>
    <row r="4" spans="1:3" s="35" customFormat="1" ht="16.5" customHeight="1">
      <c r="A4" s="224"/>
      <c r="B4" s="242" t="s">
        <v>964</v>
      </c>
      <c r="C4" s="242"/>
    </row>
    <row r="5" spans="1:3" ht="16.5" customHeight="1">
      <c r="A5" s="224"/>
      <c r="B5" s="1"/>
      <c r="C5" s="1"/>
    </row>
    <row r="6" spans="1:3" ht="38.25" customHeight="1">
      <c r="A6" s="243" t="s">
        <v>861</v>
      </c>
      <c r="B6" s="243"/>
      <c r="C6" s="243"/>
    </row>
    <row r="7" spans="1:3" ht="15.75" customHeight="1">
      <c r="A7" s="226"/>
      <c r="B7" s="226"/>
      <c r="C7" s="227" t="s">
        <v>347</v>
      </c>
    </row>
    <row r="8" spans="1:3" ht="3.75" customHeight="1" hidden="1">
      <c r="A8" s="228" t="s">
        <v>318</v>
      </c>
      <c r="B8" s="229"/>
      <c r="C8" s="229"/>
    </row>
    <row r="9" spans="1:3" ht="16.5" customHeight="1">
      <c r="A9" s="244" t="s">
        <v>139</v>
      </c>
      <c r="B9" s="244" t="s">
        <v>306</v>
      </c>
      <c r="C9" s="245" t="s">
        <v>862</v>
      </c>
    </row>
    <row r="10" spans="1:3" ht="16.5" customHeight="1">
      <c r="A10" s="244"/>
      <c r="B10" s="244"/>
      <c r="C10" s="245"/>
    </row>
    <row r="11" spans="1:3" ht="22.5" customHeight="1">
      <c r="A11" s="244"/>
      <c r="B11" s="244"/>
      <c r="C11" s="245"/>
    </row>
    <row r="12" spans="1:3" ht="34.5" customHeight="1">
      <c r="A12" s="4" t="s">
        <v>307</v>
      </c>
      <c r="B12" s="230" t="s">
        <v>308</v>
      </c>
      <c r="C12" s="117">
        <f>C13+C14</f>
        <v>5838.579200000001</v>
      </c>
    </row>
    <row r="13" spans="1:3" ht="52.5" customHeight="1">
      <c r="A13" s="24" t="s">
        <v>309</v>
      </c>
      <c r="B13" s="231" t="s">
        <v>310</v>
      </c>
      <c r="C13" s="66">
        <f>(4737.01064+2500-439.05279)</f>
        <v>6797.957850000001</v>
      </c>
    </row>
    <row r="14" spans="1:4" ht="50.25" customHeight="1">
      <c r="A14" s="32" t="s">
        <v>311</v>
      </c>
      <c r="B14" s="232" t="s">
        <v>312</v>
      </c>
      <c r="C14" s="66">
        <v>-959.37865</v>
      </c>
      <c r="D14" s="214"/>
    </row>
    <row r="15" spans="1:3" ht="51" customHeight="1">
      <c r="A15" s="4" t="s">
        <v>313</v>
      </c>
      <c r="B15" s="230" t="s">
        <v>314</v>
      </c>
      <c r="C15" s="117">
        <f>C16+C17</f>
        <v>-3338.5791999999997</v>
      </c>
    </row>
    <row r="16" spans="1:3" ht="63" customHeight="1">
      <c r="A16" s="32" t="s">
        <v>248</v>
      </c>
      <c r="B16" s="233" t="s">
        <v>319</v>
      </c>
      <c r="C16" s="134">
        <v>0</v>
      </c>
    </row>
    <row r="17" spans="1:3" ht="67.5" customHeight="1">
      <c r="A17" s="234" t="s">
        <v>249</v>
      </c>
      <c r="B17" s="235" t="s">
        <v>320</v>
      </c>
      <c r="C17" s="66">
        <f>-(1680+2097.63199-439.05279)</f>
        <v>-3338.5791999999997</v>
      </c>
    </row>
    <row r="18" spans="1:3" ht="36" customHeight="1">
      <c r="A18" s="4" t="s">
        <v>362</v>
      </c>
      <c r="B18" s="230" t="s">
        <v>363</v>
      </c>
      <c r="C18" s="117">
        <f>C19+C20</f>
        <v>29019.05613000004</v>
      </c>
    </row>
    <row r="19" spans="1:3" ht="36" customHeight="1">
      <c r="A19" s="24" t="s">
        <v>0</v>
      </c>
      <c r="B19" s="231" t="s">
        <v>1</v>
      </c>
      <c r="C19" s="275">
        <f>-(530465.55131+7237.01064+413+11036.54-439.05279+16097.19673+18499.52934+16887.44363)</f>
        <v>-600197.21886</v>
      </c>
    </row>
    <row r="20" spans="1:3" ht="39" customHeight="1">
      <c r="A20" s="24" t="s">
        <v>2</v>
      </c>
      <c r="B20" s="231" t="s">
        <v>3</v>
      </c>
      <c r="C20" s="66">
        <f>561984.60744+959.37865+3777.63199+413+11036.54-439.05279+16097.19673+18499.52934+16887.44363</f>
        <v>629216.2749900001</v>
      </c>
    </row>
    <row r="21" spans="1:5" ht="19.5" customHeight="1">
      <c r="A21" s="4"/>
      <c r="B21" s="236" t="s">
        <v>321</v>
      </c>
      <c r="C21" s="219">
        <f>C12+C15+C18</f>
        <v>31519.05613000004</v>
      </c>
      <c r="E21" s="237"/>
    </row>
    <row r="22" spans="1:3" s="238" customFormat="1" ht="21.75" customHeight="1">
      <c r="A22" s="217"/>
      <c r="B22" s="217"/>
      <c r="C22" s="217"/>
    </row>
    <row r="23" spans="1:3" s="23" customFormat="1" ht="12.75">
      <c r="A23" s="217"/>
      <c r="B23" s="217"/>
      <c r="C23" s="217"/>
    </row>
  </sheetData>
  <sheetProtection/>
  <mergeCells count="6">
    <mergeCell ref="B3:C3"/>
    <mergeCell ref="B4:C4"/>
    <mergeCell ref="A6:C6"/>
    <mergeCell ref="A9:A11"/>
    <mergeCell ref="B9:B11"/>
    <mergeCell ref="C9:C1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107"/>
  <sheetViews>
    <sheetView tabSelected="1" view="pageBreakPreview" zoomScaleSheetLayoutView="100" zoomScalePageLayoutView="0" workbookViewId="0" topLeftCell="A94">
      <selection activeCell="A94" sqref="A1:IV16384"/>
    </sheetView>
  </sheetViews>
  <sheetFormatPr defaultColWidth="8.625" defaultRowHeight="12.75"/>
  <cols>
    <col min="1" max="1" width="23.375" style="196" customWidth="1"/>
    <col min="2" max="2" width="9.375" style="138" customWidth="1"/>
    <col min="3" max="3" width="44.625" style="138" customWidth="1"/>
    <col min="4" max="4" width="16.00390625" style="127" hidden="1" customWidth="1"/>
    <col min="5" max="5" width="16.00390625" style="127" customWidth="1"/>
    <col min="6" max="6" width="15.50390625" style="127" hidden="1" customWidth="1"/>
    <col min="7" max="7" width="18.625" style="35" customWidth="1"/>
    <col min="8" max="8" width="15.625" style="35" bestFit="1" customWidth="1"/>
    <col min="9" max="16384" width="8.625" style="35" customWidth="1"/>
  </cols>
  <sheetData>
    <row r="1" spans="1:5" ht="15">
      <c r="A1" s="191"/>
      <c r="B1" s="192"/>
      <c r="C1" s="261" t="s">
        <v>464</v>
      </c>
      <c r="D1" s="262"/>
      <c r="E1" s="262"/>
    </row>
    <row r="2" spans="1:9" ht="15">
      <c r="A2" s="191"/>
      <c r="B2" s="192"/>
      <c r="C2" s="242" t="s">
        <v>410</v>
      </c>
      <c r="D2" s="242"/>
      <c r="E2" s="242"/>
      <c r="H2" s="7"/>
      <c r="I2" s="126"/>
    </row>
    <row r="3" spans="1:9" ht="15">
      <c r="A3" s="191"/>
      <c r="B3" s="192"/>
      <c r="C3" s="242" t="s">
        <v>411</v>
      </c>
      <c r="D3" s="242"/>
      <c r="E3" s="242"/>
      <c r="H3" s="242"/>
      <c r="I3" s="242"/>
    </row>
    <row r="4" spans="1:9" ht="13.5" customHeight="1">
      <c r="A4" s="191"/>
      <c r="B4" s="192"/>
      <c r="C4" s="242" t="s">
        <v>964</v>
      </c>
      <c r="D4" s="262"/>
      <c r="E4" s="262"/>
      <c r="H4" s="7"/>
      <c r="I4" s="126"/>
    </row>
    <row r="5" spans="1:9" ht="15">
      <c r="A5" s="191"/>
      <c r="B5" s="192"/>
      <c r="C5" s="192"/>
      <c r="H5" s="242"/>
      <c r="I5" s="242"/>
    </row>
    <row r="6" spans="1:5" ht="20.25" customHeight="1">
      <c r="A6" s="263" t="s">
        <v>803</v>
      </c>
      <c r="B6" s="263"/>
      <c r="C6" s="263"/>
      <c r="D6" s="263"/>
      <c r="E6" s="264"/>
    </row>
    <row r="7" spans="1:6" ht="15" customHeight="1">
      <c r="A7" s="193"/>
      <c r="B7" s="265"/>
      <c r="C7" s="265"/>
      <c r="D7" s="132"/>
      <c r="E7" s="132" t="s">
        <v>137</v>
      </c>
      <c r="F7" s="125"/>
    </row>
    <row r="8" spans="1:6" ht="15" customHeight="1">
      <c r="A8" s="246" t="s">
        <v>139</v>
      </c>
      <c r="B8" s="246" t="s">
        <v>350</v>
      </c>
      <c r="C8" s="246"/>
      <c r="D8" s="255" t="s">
        <v>869</v>
      </c>
      <c r="E8" s="255" t="s">
        <v>895</v>
      </c>
      <c r="F8" s="260" t="s">
        <v>668</v>
      </c>
    </row>
    <row r="9" spans="1:6" ht="67.5" customHeight="1">
      <c r="A9" s="246"/>
      <c r="B9" s="246"/>
      <c r="C9" s="246"/>
      <c r="D9" s="255"/>
      <c r="E9" s="255"/>
      <c r="F9" s="260"/>
    </row>
    <row r="10" spans="1:8" ht="18.75" customHeight="1">
      <c r="A10" s="130" t="s">
        <v>253</v>
      </c>
      <c r="B10" s="248" t="s">
        <v>254</v>
      </c>
      <c r="C10" s="248"/>
      <c r="D10" s="96">
        <f>D11+D13+D15+D20+D22+D30+D32+D35+D39+D40</f>
        <v>211636</v>
      </c>
      <c r="E10" s="96">
        <f>E11+E13+E15+E20+E22+E30+E32+E35+E39+E40</f>
        <v>229441.4</v>
      </c>
      <c r="F10" s="96">
        <f>F11+F13+F15+F20+F22+F30+F32+F35+F39+F40</f>
        <v>17456.4</v>
      </c>
      <c r="G10" s="68"/>
      <c r="H10" s="68"/>
    </row>
    <row r="11" spans="1:7" ht="15" customHeight="1">
      <c r="A11" s="130" t="s">
        <v>255</v>
      </c>
      <c r="B11" s="246" t="s">
        <v>265</v>
      </c>
      <c r="C11" s="246"/>
      <c r="D11" s="96">
        <f>SUM(D12)</f>
        <v>173894</v>
      </c>
      <c r="E11" s="96">
        <f>SUM(E12)</f>
        <v>185984</v>
      </c>
      <c r="F11" s="96">
        <f>SUM(F12)</f>
        <v>12090</v>
      </c>
      <c r="G11" s="68"/>
    </row>
    <row r="12" spans="1:7" ht="15" customHeight="1">
      <c r="A12" s="60" t="s">
        <v>408</v>
      </c>
      <c r="B12" s="246" t="s">
        <v>266</v>
      </c>
      <c r="C12" s="246"/>
      <c r="D12" s="128">
        <v>173894</v>
      </c>
      <c r="E12" s="128">
        <v>185984</v>
      </c>
      <c r="F12" s="128">
        <f>E12-D12</f>
        <v>12090</v>
      </c>
      <c r="G12" s="68"/>
    </row>
    <row r="13" spans="1:7" ht="45" customHeight="1">
      <c r="A13" s="130" t="s">
        <v>455</v>
      </c>
      <c r="B13" s="246" t="s">
        <v>456</v>
      </c>
      <c r="C13" s="246"/>
      <c r="D13" s="96">
        <f>SUM(D14)</f>
        <v>14759</v>
      </c>
      <c r="E13" s="96">
        <f>SUM(E14)</f>
        <v>13960</v>
      </c>
      <c r="F13" s="96">
        <f>SUM(F14)</f>
        <v>-799</v>
      </c>
      <c r="G13" s="68"/>
    </row>
    <row r="14" spans="1:6" ht="29.25" customHeight="1">
      <c r="A14" s="60" t="s">
        <v>453</v>
      </c>
      <c r="B14" s="246" t="s">
        <v>454</v>
      </c>
      <c r="C14" s="246"/>
      <c r="D14" s="128">
        <v>14759</v>
      </c>
      <c r="E14" s="128">
        <f>14759-799</f>
        <v>13960</v>
      </c>
      <c r="F14" s="128">
        <f>E14-D14</f>
        <v>-799</v>
      </c>
    </row>
    <row r="15" spans="1:6" ht="15" customHeight="1">
      <c r="A15" s="130" t="s">
        <v>267</v>
      </c>
      <c r="B15" s="246" t="s">
        <v>269</v>
      </c>
      <c r="C15" s="246"/>
      <c r="D15" s="96">
        <f>SUM(D16:D19)</f>
        <v>3640</v>
      </c>
      <c r="E15" s="96">
        <f>SUM(E16:E19)</f>
        <v>7442</v>
      </c>
      <c r="F15" s="96">
        <f>SUM(F16:F19)</f>
        <v>3453</v>
      </c>
    </row>
    <row r="16" spans="1:6" ht="30" customHeight="1">
      <c r="A16" s="60" t="s">
        <v>804</v>
      </c>
      <c r="B16" s="246" t="s">
        <v>659</v>
      </c>
      <c r="C16" s="246"/>
      <c r="D16" s="128">
        <v>249</v>
      </c>
      <c r="E16" s="128">
        <v>249</v>
      </c>
      <c r="F16" s="128">
        <f>E16-D16</f>
        <v>0</v>
      </c>
    </row>
    <row r="17" spans="1:6" ht="30" customHeight="1">
      <c r="A17" s="60" t="s">
        <v>425</v>
      </c>
      <c r="B17" s="246" t="s">
        <v>270</v>
      </c>
      <c r="C17" s="246"/>
      <c r="D17" s="128">
        <v>2163</v>
      </c>
      <c r="E17" s="128">
        <f>2163+200+149</f>
        <v>2512</v>
      </c>
      <c r="F17" s="128"/>
    </row>
    <row r="18" spans="1:6" ht="22.5" customHeight="1">
      <c r="A18" s="60" t="s">
        <v>426</v>
      </c>
      <c r="B18" s="246" t="s">
        <v>271</v>
      </c>
      <c r="C18" s="246"/>
      <c r="D18" s="128">
        <v>1146</v>
      </c>
      <c r="E18" s="128">
        <f>1146+213+8-8</f>
        <v>1359</v>
      </c>
      <c r="F18" s="128">
        <f>E18-D18</f>
        <v>213</v>
      </c>
    </row>
    <row r="19" spans="1:6" ht="45" customHeight="1">
      <c r="A19" s="60" t="s">
        <v>457</v>
      </c>
      <c r="B19" s="246" t="s">
        <v>458</v>
      </c>
      <c r="C19" s="246"/>
      <c r="D19" s="128">
        <v>82</v>
      </c>
      <c r="E19" s="128">
        <f>82+68+800+1465+10+8+158+31+700</f>
        <v>3322</v>
      </c>
      <c r="F19" s="128">
        <f>E19-D19</f>
        <v>3240</v>
      </c>
    </row>
    <row r="20" spans="1:6" ht="15" customHeight="1">
      <c r="A20" s="130" t="s">
        <v>272</v>
      </c>
      <c r="B20" s="246" t="s">
        <v>273</v>
      </c>
      <c r="C20" s="246"/>
      <c r="D20" s="96">
        <f>SUM(D21:D21)</f>
        <v>2900</v>
      </c>
      <c r="E20" s="96">
        <f>SUM(E21:E21)</f>
        <v>2500</v>
      </c>
      <c r="F20" s="96">
        <f>SUM(F21:F21)</f>
        <v>-400</v>
      </c>
    </row>
    <row r="21" spans="1:6" ht="46.5" customHeight="1">
      <c r="A21" s="13" t="s">
        <v>459</v>
      </c>
      <c r="B21" s="259" t="s">
        <v>7</v>
      </c>
      <c r="C21" s="259"/>
      <c r="D21" s="128">
        <v>2900</v>
      </c>
      <c r="E21" s="128">
        <f>2900-400</f>
        <v>2500</v>
      </c>
      <c r="F21" s="128">
        <f>E21-D21</f>
        <v>-400</v>
      </c>
    </row>
    <row r="22" spans="1:6" ht="52.5" customHeight="1">
      <c r="A22" s="130" t="s">
        <v>274</v>
      </c>
      <c r="B22" s="246" t="s">
        <v>427</v>
      </c>
      <c r="C22" s="246"/>
      <c r="D22" s="96">
        <f>SUM(D23:D29)</f>
        <v>7946</v>
      </c>
      <c r="E22" s="96">
        <f>SUM(E23:E29)</f>
        <v>8771</v>
      </c>
      <c r="F22" s="96">
        <f>SUM(F23:F29)</f>
        <v>825</v>
      </c>
    </row>
    <row r="23" spans="1:6" ht="99" customHeight="1">
      <c r="A23" s="60" t="s">
        <v>4</v>
      </c>
      <c r="B23" s="246" t="s">
        <v>500</v>
      </c>
      <c r="C23" s="246"/>
      <c r="D23" s="212">
        <v>515</v>
      </c>
      <c r="E23" s="212">
        <f>515+55+1645</f>
        <v>2215</v>
      </c>
      <c r="F23" s="128">
        <f aca="true" t="shared" si="0" ref="F23:F29">E23-D23</f>
        <v>1700</v>
      </c>
    </row>
    <row r="24" spans="1:6" ht="95.25" customHeight="1" hidden="1">
      <c r="A24" s="60" t="s">
        <v>6</v>
      </c>
      <c r="B24" s="246" t="s">
        <v>647</v>
      </c>
      <c r="C24" s="246"/>
      <c r="D24" s="212"/>
      <c r="E24" s="212"/>
      <c r="F24" s="128">
        <f t="shared" si="0"/>
        <v>0</v>
      </c>
    </row>
    <row r="25" spans="1:6" ht="75.75" customHeight="1">
      <c r="A25" s="60" t="s">
        <v>232</v>
      </c>
      <c r="B25" s="246" t="s">
        <v>899</v>
      </c>
      <c r="C25" s="246"/>
      <c r="D25" s="212">
        <v>5400</v>
      </c>
      <c r="E25" s="212">
        <f>5400+25-900</f>
        <v>4525</v>
      </c>
      <c r="F25" s="128">
        <f t="shared" si="0"/>
        <v>-875</v>
      </c>
    </row>
    <row r="26" spans="1:6" ht="78" customHeight="1">
      <c r="A26" s="60" t="s">
        <v>329</v>
      </c>
      <c r="B26" s="246" t="s">
        <v>244</v>
      </c>
      <c r="C26" s="246"/>
      <c r="D26" s="212">
        <v>103</v>
      </c>
      <c r="E26" s="212">
        <v>103</v>
      </c>
      <c r="F26" s="128">
        <f t="shared" si="0"/>
        <v>0</v>
      </c>
    </row>
    <row r="27" spans="1:6" ht="83.25" customHeight="1">
      <c r="A27" s="60" t="s">
        <v>173</v>
      </c>
      <c r="B27" s="246" t="s">
        <v>430</v>
      </c>
      <c r="C27" s="246"/>
      <c r="D27" s="128">
        <v>1928</v>
      </c>
      <c r="E27" s="128">
        <v>1928</v>
      </c>
      <c r="F27" s="128">
        <f t="shared" si="0"/>
        <v>0</v>
      </c>
    </row>
    <row r="28" spans="1:6" ht="59.25" customHeight="1" hidden="1">
      <c r="A28" s="60" t="s">
        <v>330</v>
      </c>
      <c r="B28" s="246" t="s">
        <v>174</v>
      </c>
      <c r="C28" s="246"/>
      <c r="D28" s="128"/>
      <c r="E28" s="128"/>
      <c r="F28" s="128">
        <f t="shared" si="0"/>
        <v>0</v>
      </c>
    </row>
    <row r="29" spans="1:6" ht="87" customHeight="1" hidden="1">
      <c r="A29" s="60" t="s">
        <v>175</v>
      </c>
      <c r="B29" s="246" t="s">
        <v>433</v>
      </c>
      <c r="C29" s="246"/>
      <c r="D29" s="128"/>
      <c r="E29" s="128"/>
      <c r="F29" s="128">
        <f t="shared" si="0"/>
        <v>0</v>
      </c>
    </row>
    <row r="30" spans="1:6" ht="31.5" customHeight="1">
      <c r="A30" s="130" t="s">
        <v>275</v>
      </c>
      <c r="B30" s="246" t="s">
        <v>276</v>
      </c>
      <c r="C30" s="246"/>
      <c r="D30" s="96">
        <f>SUM(D31)</f>
        <v>538</v>
      </c>
      <c r="E30" s="96">
        <f>SUM(E31)</f>
        <v>1378</v>
      </c>
      <c r="F30" s="96">
        <f>SUM(F31)</f>
        <v>840</v>
      </c>
    </row>
    <row r="31" spans="1:6" ht="24" customHeight="1">
      <c r="A31" s="60" t="s">
        <v>409</v>
      </c>
      <c r="B31" s="246" t="s">
        <v>277</v>
      </c>
      <c r="C31" s="246"/>
      <c r="D31" s="97">
        <v>538</v>
      </c>
      <c r="E31" s="97">
        <f>538+840</f>
        <v>1378</v>
      </c>
      <c r="F31" s="128">
        <f>E31-D31</f>
        <v>840</v>
      </c>
    </row>
    <row r="32" spans="1:6" ht="31.5" customHeight="1">
      <c r="A32" s="130" t="s">
        <v>278</v>
      </c>
      <c r="B32" s="246" t="s">
        <v>279</v>
      </c>
      <c r="C32" s="246"/>
      <c r="D32" s="96">
        <f>SUM(D33:D34)</f>
        <v>1057</v>
      </c>
      <c r="E32" s="96">
        <f>SUM(E33:E34)</f>
        <v>1057</v>
      </c>
      <c r="F32" s="96">
        <f>SUM(F33:F34)</f>
        <v>0</v>
      </c>
    </row>
    <row r="33" spans="1:8" ht="41.25" customHeight="1">
      <c r="A33" s="60" t="s">
        <v>434</v>
      </c>
      <c r="B33" s="246" t="s">
        <v>435</v>
      </c>
      <c r="C33" s="246"/>
      <c r="D33" s="128">
        <f>90+144</f>
        <v>234</v>
      </c>
      <c r="E33" s="128">
        <f>90+144</f>
        <v>234</v>
      </c>
      <c r="F33" s="128">
        <f>E33-D33</f>
        <v>0</v>
      </c>
      <c r="G33" s="68"/>
      <c r="H33" s="68"/>
    </row>
    <row r="34" spans="1:6" ht="51.75" customHeight="1">
      <c r="A34" s="60" t="s">
        <v>648</v>
      </c>
      <c r="B34" s="246" t="s">
        <v>649</v>
      </c>
      <c r="C34" s="246"/>
      <c r="D34" s="128">
        <v>823</v>
      </c>
      <c r="E34" s="128">
        <v>823</v>
      </c>
      <c r="F34" s="128">
        <f>E34-D34</f>
        <v>0</v>
      </c>
    </row>
    <row r="35" spans="1:6" ht="36" customHeight="1">
      <c r="A35" s="130" t="s">
        <v>280</v>
      </c>
      <c r="B35" s="246" t="s">
        <v>281</v>
      </c>
      <c r="C35" s="246"/>
      <c r="D35" s="96">
        <f>SUM(D36:D38)</f>
        <v>3887</v>
      </c>
      <c r="E35" s="96">
        <f>SUM(E36:E38)</f>
        <v>5334.4</v>
      </c>
      <c r="F35" s="96">
        <f>SUM(F36:F38)</f>
        <v>1447.3999999999996</v>
      </c>
    </row>
    <row r="36" spans="1:8" ht="87" customHeight="1">
      <c r="A36" s="60" t="s">
        <v>436</v>
      </c>
      <c r="B36" s="246" t="s">
        <v>449</v>
      </c>
      <c r="C36" s="246"/>
      <c r="D36" s="128">
        <f>1041+425+2081</f>
        <v>3547</v>
      </c>
      <c r="E36" s="128">
        <f>1041+425+2081+62.4+759</f>
        <v>4368.4</v>
      </c>
      <c r="F36" s="128">
        <f>E36-D36</f>
        <v>821.3999999999996</v>
      </c>
      <c r="G36" s="210"/>
      <c r="H36" s="68"/>
    </row>
    <row r="37" spans="1:6" ht="55.5" customHeight="1">
      <c r="A37" s="13" t="s">
        <v>514</v>
      </c>
      <c r="B37" s="246" t="s">
        <v>795</v>
      </c>
      <c r="C37" s="246"/>
      <c r="D37" s="128">
        <v>340</v>
      </c>
      <c r="E37" s="128">
        <f>340+250</f>
        <v>590</v>
      </c>
      <c r="F37" s="128">
        <f>E37-D37</f>
        <v>250</v>
      </c>
    </row>
    <row r="38" spans="1:6" ht="57" customHeight="1">
      <c r="A38" s="13" t="s">
        <v>553</v>
      </c>
      <c r="B38" s="246" t="s">
        <v>245</v>
      </c>
      <c r="C38" s="246"/>
      <c r="D38" s="128"/>
      <c r="E38" s="128">
        <v>376</v>
      </c>
      <c r="F38" s="128">
        <f>E38-D38</f>
        <v>376</v>
      </c>
    </row>
    <row r="39" spans="1:6" ht="19.5" customHeight="1">
      <c r="A39" s="130" t="s">
        <v>282</v>
      </c>
      <c r="B39" s="246" t="s">
        <v>283</v>
      </c>
      <c r="C39" s="246"/>
      <c r="D39" s="129">
        <f>1500+15+1200</f>
        <v>2715</v>
      </c>
      <c r="E39" s="129">
        <f>1500+15+1200</f>
        <v>2715</v>
      </c>
      <c r="F39" s="129">
        <f>E39-D39</f>
        <v>0</v>
      </c>
    </row>
    <row r="40" spans="1:6" ht="31.5" customHeight="1">
      <c r="A40" s="130" t="s">
        <v>331</v>
      </c>
      <c r="B40" s="246" t="s">
        <v>332</v>
      </c>
      <c r="C40" s="246"/>
      <c r="D40" s="96">
        <f>SUM(D41)</f>
        <v>300</v>
      </c>
      <c r="E40" s="96">
        <f>SUM(E41)</f>
        <v>300</v>
      </c>
      <c r="F40" s="96">
        <f>SUM(F41)</f>
        <v>0</v>
      </c>
    </row>
    <row r="41" spans="1:6" ht="27" customHeight="1">
      <c r="A41" s="13" t="s">
        <v>334</v>
      </c>
      <c r="B41" s="246" t="s">
        <v>336</v>
      </c>
      <c r="C41" s="246"/>
      <c r="D41" s="128">
        <v>300</v>
      </c>
      <c r="E41" s="128">
        <v>300</v>
      </c>
      <c r="F41" s="128">
        <f>E41-D41</f>
        <v>0</v>
      </c>
    </row>
    <row r="42" spans="1:8" ht="32.25" customHeight="1">
      <c r="A42" s="130" t="s">
        <v>284</v>
      </c>
      <c r="B42" s="248" t="s">
        <v>671</v>
      </c>
      <c r="C42" s="248"/>
      <c r="D42" s="96">
        <f>D43</f>
        <v>291580.88323999994</v>
      </c>
      <c r="E42" s="96">
        <f>E43</f>
        <v>363957.8610100001</v>
      </c>
      <c r="F42" s="96">
        <f>F43</f>
        <v>53010.70376999999</v>
      </c>
      <c r="G42" s="68"/>
      <c r="H42" s="68"/>
    </row>
    <row r="43" spans="1:8" ht="33" customHeight="1">
      <c r="A43" s="60" t="s">
        <v>285</v>
      </c>
      <c r="B43" s="246" t="s">
        <v>672</v>
      </c>
      <c r="C43" s="246"/>
      <c r="D43" s="96">
        <f>D44+D48+D62+D96</f>
        <v>291580.88323999994</v>
      </c>
      <c r="E43" s="96">
        <f>E44+E48+E62+E96</f>
        <v>363957.8610100001</v>
      </c>
      <c r="F43" s="96">
        <f>F44+F48+F62+F96</f>
        <v>53010.70376999999</v>
      </c>
      <c r="G43" s="68"/>
      <c r="H43" s="68"/>
    </row>
    <row r="44" spans="1:7" ht="31.5" customHeight="1">
      <c r="A44" s="130" t="s">
        <v>650</v>
      </c>
      <c r="B44" s="248" t="s">
        <v>288</v>
      </c>
      <c r="C44" s="248"/>
      <c r="D44" s="96">
        <f>D46+D47</f>
        <v>0</v>
      </c>
      <c r="E44" s="96">
        <f>E46+E47</f>
        <v>45479.06</v>
      </c>
      <c r="F44" s="96">
        <f>E44-D44</f>
        <v>45479.06</v>
      </c>
      <c r="G44" s="68"/>
    </row>
    <row r="45" spans="1:6" ht="43.5" customHeight="1" hidden="1">
      <c r="A45" s="60" t="s">
        <v>462</v>
      </c>
      <c r="B45" s="246" t="s">
        <v>176</v>
      </c>
      <c r="C45" s="246"/>
      <c r="D45" s="128"/>
      <c r="E45" s="128"/>
      <c r="F45" s="128">
        <f>E45-D45</f>
        <v>0</v>
      </c>
    </row>
    <row r="46" spans="1:6" ht="108" customHeight="1" hidden="1">
      <c r="A46" s="60" t="s">
        <v>788</v>
      </c>
      <c r="B46" s="246" t="s">
        <v>789</v>
      </c>
      <c r="C46" s="249"/>
      <c r="D46" s="128">
        <v>0</v>
      </c>
      <c r="E46" s="128">
        <v>0</v>
      </c>
      <c r="F46" s="128">
        <f>E46-D46</f>
        <v>0</v>
      </c>
    </row>
    <row r="47" spans="1:6" ht="30" customHeight="1">
      <c r="A47" s="60" t="s">
        <v>556</v>
      </c>
      <c r="B47" s="246" t="s">
        <v>345</v>
      </c>
      <c r="C47" s="246"/>
      <c r="D47" s="128">
        <v>0</v>
      </c>
      <c r="E47" s="128">
        <f>8050.54+14233.52+23195</f>
        <v>45479.06</v>
      </c>
      <c r="F47" s="128">
        <f>E47-D47</f>
        <v>45479.06</v>
      </c>
    </row>
    <row r="48" spans="1:7" ht="33" customHeight="1">
      <c r="A48" s="53" t="s">
        <v>463</v>
      </c>
      <c r="B48" s="255" t="s">
        <v>268</v>
      </c>
      <c r="C48" s="255"/>
      <c r="D48" s="96">
        <f>D49+D61</f>
        <v>0</v>
      </c>
      <c r="E48" s="96">
        <f>E49+E61</f>
        <v>8004.10391</v>
      </c>
      <c r="F48" s="96">
        <f>F49+F61</f>
        <v>7804.10391</v>
      </c>
      <c r="G48" s="68"/>
    </row>
    <row r="49" spans="1:7" ht="33" customHeight="1">
      <c r="A49" s="95" t="s">
        <v>651</v>
      </c>
      <c r="B49" s="256" t="s">
        <v>783</v>
      </c>
      <c r="C49" s="256"/>
      <c r="D49" s="111">
        <f>SUM(D50:D57)</f>
        <v>0</v>
      </c>
      <c r="E49" s="111">
        <f>SUM(E55:E60)</f>
        <v>6200.37391</v>
      </c>
      <c r="F49" s="111">
        <f>SUM(F50:F57)</f>
        <v>6000.37391</v>
      </c>
      <c r="G49" s="68"/>
    </row>
    <row r="50" spans="1:8" ht="74.25" customHeight="1" hidden="1">
      <c r="A50" s="13" t="s">
        <v>651</v>
      </c>
      <c r="B50" s="246" t="s">
        <v>652</v>
      </c>
      <c r="C50" s="246"/>
      <c r="D50" s="97">
        <v>0</v>
      </c>
      <c r="E50" s="97">
        <v>0</v>
      </c>
      <c r="F50" s="128">
        <f aca="true" t="shared" si="1" ref="F50:F61">E50-D50</f>
        <v>0</v>
      </c>
      <c r="G50" s="194"/>
      <c r="H50" s="195"/>
    </row>
    <row r="51" spans="1:8" ht="60" customHeight="1" hidden="1">
      <c r="A51" s="13" t="s">
        <v>651</v>
      </c>
      <c r="B51" s="257" t="s">
        <v>785</v>
      </c>
      <c r="C51" s="258"/>
      <c r="D51" s="97">
        <v>0</v>
      </c>
      <c r="E51" s="97">
        <v>0</v>
      </c>
      <c r="F51" s="128">
        <f t="shared" si="1"/>
        <v>0</v>
      </c>
      <c r="G51" s="194"/>
      <c r="H51" s="195"/>
    </row>
    <row r="52" spans="1:6" ht="72" customHeight="1" hidden="1">
      <c r="A52" s="13" t="s">
        <v>651</v>
      </c>
      <c r="B52" s="246" t="s">
        <v>784</v>
      </c>
      <c r="C52" s="246"/>
      <c r="D52" s="97">
        <v>0</v>
      </c>
      <c r="E52" s="97">
        <v>0</v>
      </c>
      <c r="F52" s="128">
        <f t="shared" si="1"/>
        <v>0</v>
      </c>
    </row>
    <row r="53" spans="1:6" ht="57" customHeight="1" hidden="1">
      <c r="A53" s="13" t="s">
        <v>651</v>
      </c>
      <c r="B53" s="246" t="s">
        <v>669</v>
      </c>
      <c r="C53" s="249"/>
      <c r="D53" s="97">
        <v>0</v>
      </c>
      <c r="E53" s="97">
        <v>0</v>
      </c>
      <c r="F53" s="128">
        <f t="shared" si="1"/>
        <v>0</v>
      </c>
    </row>
    <row r="54" spans="1:6" ht="57.75" customHeight="1" hidden="1">
      <c r="A54" s="13" t="s">
        <v>651</v>
      </c>
      <c r="B54" s="246" t="s">
        <v>689</v>
      </c>
      <c r="C54" s="249"/>
      <c r="D54" s="97">
        <v>0</v>
      </c>
      <c r="E54" s="97">
        <v>0</v>
      </c>
      <c r="F54" s="128">
        <f t="shared" si="1"/>
        <v>0</v>
      </c>
    </row>
    <row r="55" spans="1:7" ht="58.5" customHeight="1">
      <c r="A55" s="13" t="s">
        <v>651</v>
      </c>
      <c r="B55" s="246" t="s">
        <v>670</v>
      </c>
      <c r="C55" s="246"/>
      <c r="D55" s="97">
        <v>0</v>
      </c>
      <c r="E55" s="97">
        <v>226.44289</v>
      </c>
      <c r="F55" s="128">
        <f t="shared" si="1"/>
        <v>226.44289</v>
      </c>
      <c r="G55" s="211"/>
    </row>
    <row r="56" spans="1:7" ht="51" customHeight="1">
      <c r="A56" s="13" t="s">
        <v>651</v>
      </c>
      <c r="B56" s="246" t="s">
        <v>727</v>
      </c>
      <c r="C56" s="246"/>
      <c r="D56" s="97">
        <v>0</v>
      </c>
      <c r="E56" s="97">
        <f>1382.48629+1391.44473</f>
        <v>2773.93102</v>
      </c>
      <c r="F56" s="128">
        <f t="shared" si="1"/>
        <v>2773.93102</v>
      </c>
      <c r="G56" s="211"/>
    </row>
    <row r="57" spans="1:6" ht="66.75" customHeight="1">
      <c r="A57" s="13" t="s">
        <v>651</v>
      </c>
      <c r="B57" s="246" t="s">
        <v>786</v>
      </c>
      <c r="C57" s="246"/>
      <c r="D57" s="97">
        <v>0</v>
      </c>
      <c r="E57" s="97">
        <v>3000</v>
      </c>
      <c r="F57" s="128">
        <f t="shared" si="1"/>
        <v>3000</v>
      </c>
    </row>
    <row r="58" spans="1:6" ht="66.75" customHeight="1" hidden="1">
      <c r="A58" s="13" t="s">
        <v>932</v>
      </c>
      <c r="B58" s="246" t="s">
        <v>896</v>
      </c>
      <c r="C58" s="249"/>
      <c r="D58" s="97"/>
      <c r="E58" s="97">
        <v>0</v>
      </c>
      <c r="F58" s="128"/>
    </row>
    <row r="59" spans="1:6" ht="45.75" customHeight="1" hidden="1">
      <c r="A59" s="13" t="s">
        <v>933</v>
      </c>
      <c r="B59" s="246" t="s">
        <v>787</v>
      </c>
      <c r="C59" s="246"/>
      <c r="D59" s="97">
        <v>0</v>
      </c>
      <c r="E59" s="97">
        <v>0</v>
      </c>
      <c r="F59" s="128">
        <f t="shared" si="1"/>
        <v>0</v>
      </c>
    </row>
    <row r="60" spans="1:6" ht="45.75" customHeight="1">
      <c r="A60" s="13" t="s">
        <v>651</v>
      </c>
      <c r="B60" s="253" t="s">
        <v>934</v>
      </c>
      <c r="C60" s="254"/>
      <c r="D60" s="97"/>
      <c r="E60" s="97">
        <v>200</v>
      </c>
      <c r="F60" s="128"/>
    </row>
    <row r="61" spans="1:6" ht="60" customHeight="1">
      <c r="A61" s="95" t="s">
        <v>664</v>
      </c>
      <c r="B61" s="252" t="s">
        <v>870</v>
      </c>
      <c r="C61" s="252"/>
      <c r="D61" s="111">
        <v>0</v>
      </c>
      <c r="E61" s="111">
        <v>1803.73</v>
      </c>
      <c r="F61" s="128">
        <f t="shared" si="1"/>
        <v>1803.73</v>
      </c>
    </row>
    <row r="62" spans="1:8" ht="46.5" customHeight="1">
      <c r="A62" s="130" t="s">
        <v>555</v>
      </c>
      <c r="B62" s="248" t="s">
        <v>404</v>
      </c>
      <c r="C62" s="248"/>
      <c r="D62" s="96">
        <f>D64+D65+D66+D72+D92+D93+D68</f>
        <v>287319.28323999996</v>
      </c>
      <c r="E62" s="96">
        <f>SUM(E63:E69)+E72+E94</f>
        <v>289181.2431000001</v>
      </c>
      <c r="F62" s="96">
        <f>F64+F65+F66+F72+F92+F93+F68</f>
        <v>-17304.314140000002</v>
      </c>
      <c r="H62" s="68"/>
    </row>
    <row r="63" spans="1:8" ht="68.25" customHeight="1">
      <c r="A63" s="60" t="s">
        <v>656</v>
      </c>
      <c r="B63" s="246" t="s">
        <v>328</v>
      </c>
      <c r="C63" s="246"/>
      <c r="D63" s="97">
        <v>4647.323</v>
      </c>
      <c r="E63" s="97">
        <v>6035.259</v>
      </c>
      <c r="F63" s="96"/>
      <c r="H63" s="68"/>
    </row>
    <row r="64" spans="1:7" ht="51" customHeight="1">
      <c r="A64" s="60" t="s">
        <v>554</v>
      </c>
      <c r="B64" s="246" t="s">
        <v>744</v>
      </c>
      <c r="C64" s="246"/>
      <c r="D64" s="128">
        <v>1250</v>
      </c>
      <c r="E64" s="128">
        <f>1361.162+34.03</f>
        <v>1395.192</v>
      </c>
      <c r="F64" s="128">
        <f>E64-D64</f>
        <v>145.192</v>
      </c>
      <c r="G64" s="68"/>
    </row>
    <row r="65" spans="1:6" ht="42" customHeight="1">
      <c r="A65" s="60" t="s">
        <v>713</v>
      </c>
      <c r="B65" s="246" t="s">
        <v>805</v>
      </c>
      <c r="C65" s="249"/>
      <c r="D65" s="128">
        <v>520.869</v>
      </c>
      <c r="E65" s="128">
        <v>530.28251</v>
      </c>
      <c r="F65" s="128">
        <f>E65-D65</f>
        <v>9.413509999999974</v>
      </c>
    </row>
    <row r="66" spans="1:6" ht="93" customHeight="1">
      <c r="A66" s="60" t="s">
        <v>557</v>
      </c>
      <c r="B66" s="246" t="s">
        <v>743</v>
      </c>
      <c r="C66" s="246"/>
      <c r="D66" s="97">
        <v>18.268</v>
      </c>
      <c r="E66" s="97">
        <f>26.012+0.0008</f>
        <v>26.012800000000002</v>
      </c>
      <c r="F66" s="128">
        <f>E66-D66</f>
        <v>7.7448000000000015</v>
      </c>
    </row>
    <row r="67" spans="1:6" ht="71.25" customHeight="1">
      <c r="A67" s="60" t="s">
        <v>792</v>
      </c>
      <c r="B67" s="246" t="s">
        <v>793</v>
      </c>
      <c r="C67" s="249"/>
      <c r="D67" s="97">
        <v>0</v>
      </c>
      <c r="E67" s="97">
        <f>18147.5-7270.9</f>
        <v>10876.6</v>
      </c>
      <c r="F67" s="128"/>
    </row>
    <row r="68" spans="1:6" ht="30.75" customHeight="1">
      <c r="A68" s="60" t="s">
        <v>871</v>
      </c>
      <c r="B68" s="246" t="s">
        <v>872</v>
      </c>
      <c r="C68" s="246"/>
      <c r="D68" s="97">
        <v>0</v>
      </c>
      <c r="E68" s="97">
        <v>307.152</v>
      </c>
      <c r="F68" s="128">
        <f>E68-D68</f>
        <v>307.152</v>
      </c>
    </row>
    <row r="69" spans="1:6" ht="33.75" customHeight="1">
      <c r="A69" s="95" t="s">
        <v>897</v>
      </c>
      <c r="B69" s="252" t="s">
        <v>898</v>
      </c>
      <c r="C69" s="252"/>
      <c r="D69" s="111">
        <f>D70+D71</f>
        <v>1897.594</v>
      </c>
      <c r="E69" s="111">
        <f>E70+E71</f>
        <v>1982.183</v>
      </c>
      <c r="F69" s="128"/>
    </row>
    <row r="70" spans="1:6" ht="65.25" customHeight="1">
      <c r="A70" s="60"/>
      <c r="B70" s="246" t="s">
        <v>448</v>
      </c>
      <c r="C70" s="246"/>
      <c r="D70" s="212">
        <v>740.504</v>
      </c>
      <c r="E70" s="128">
        <f>766.425+6.991</f>
        <v>773.4159999999999</v>
      </c>
      <c r="F70" s="128"/>
    </row>
    <row r="71" spans="1:6" ht="75" customHeight="1">
      <c r="A71" s="60"/>
      <c r="B71" s="246" t="s">
        <v>316</v>
      </c>
      <c r="C71" s="246"/>
      <c r="D71" s="212">
        <v>1157.09</v>
      </c>
      <c r="E71" s="128">
        <f>1197.791+10.976</f>
        <v>1208.767</v>
      </c>
      <c r="F71" s="128"/>
    </row>
    <row r="72" spans="1:8" ht="48.75" customHeight="1">
      <c r="A72" s="180" t="s">
        <v>558</v>
      </c>
      <c r="B72" s="251" t="s">
        <v>252</v>
      </c>
      <c r="C72" s="251"/>
      <c r="D72" s="181">
        <f>D73+D74+D75+D78+D79+D80+D82+D84+D85+D86+D87+D89+D90+D91</f>
        <v>280882.82324</v>
      </c>
      <c r="E72" s="181">
        <f>SUM(E73:E93)</f>
        <v>267756.32979000005</v>
      </c>
      <c r="F72" s="181">
        <f>F73+F74+F75+F78+F79+F80+F82+F84+F85+F86+F87+F89+F90+F91</f>
        <v>-13215.83545</v>
      </c>
      <c r="G72" s="68"/>
      <c r="H72" s="68"/>
    </row>
    <row r="73" spans="1:6" ht="76.5" customHeight="1">
      <c r="A73" s="60" t="s">
        <v>558</v>
      </c>
      <c r="B73" s="246" t="s">
        <v>443</v>
      </c>
      <c r="C73" s="246"/>
      <c r="D73" s="97">
        <f>156357.937</f>
        <v>156357.937</v>
      </c>
      <c r="E73" s="97">
        <f>161257.823-3185.1+11865.638</f>
        <v>169938.361</v>
      </c>
      <c r="F73" s="128">
        <f aca="true" t="shared" si="2" ref="F73:F91">E73-D73</f>
        <v>13580.423999999999</v>
      </c>
    </row>
    <row r="74" spans="1:6" ht="82.5" customHeight="1">
      <c r="A74" s="60" t="s">
        <v>558</v>
      </c>
      <c r="B74" s="246" t="s">
        <v>653</v>
      </c>
      <c r="C74" s="246"/>
      <c r="D74" s="97">
        <f>13848.602</f>
        <v>13848.602</v>
      </c>
      <c r="E74" s="97">
        <v>7270.9</v>
      </c>
      <c r="F74" s="128">
        <f t="shared" si="2"/>
        <v>-6577.702000000001</v>
      </c>
    </row>
    <row r="75" spans="1:6" ht="40.5" customHeight="1" hidden="1">
      <c r="A75" s="60" t="s">
        <v>897</v>
      </c>
      <c r="B75" s="246" t="s">
        <v>898</v>
      </c>
      <c r="C75" s="246"/>
      <c r="D75" s="239">
        <f>D76+D77</f>
        <v>1897.594</v>
      </c>
      <c r="E75" s="239">
        <f>E76+E77</f>
        <v>0</v>
      </c>
      <c r="F75" s="97">
        <f>F76+F77</f>
        <v>-1897.594</v>
      </c>
    </row>
    <row r="76" spans="1:6" ht="57" customHeight="1" hidden="1">
      <c r="A76" s="60" t="s">
        <v>558</v>
      </c>
      <c r="B76" s="246" t="s">
        <v>448</v>
      </c>
      <c r="C76" s="246"/>
      <c r="D76" s="212">
        <v>740.504</v>
      </c>
      <c r="E76" s="212">
        <v>0</v>
      </c>
      <c r="F76" s="128">
        <f>E76-D76</f>
        <v>-740.504</v>
      </c>
    </row>
    <row r="77" spans="1:6" ht="67.5" customHeight="1" hidden="1">
      <c r="A77" s="60" t="s">
        <v>558</v>
      </c>
      <c r="B77" s="246" t="s">
        <v>316</v>
      </c>
      <c r="C77" s="246"/>
      <c r="D77" s="212">
        <v>1157.09</v>
      </c>
      <c r="E77" s="212">
        <v>0</v>
      </c>
      <c r="F77" s="128">
        <f t="shared" si="2"/>
        <v>-1157.09</v>
      </c>
    </row>
    <row r="78" spans="1:6" ht="75.75" customHeight="1">
      <c r="A78" s="60" t="s">
        <v>558</v>
      </c>
      <c r="B78" s="246" t="s">
        <v>444</v>
      </c>
      <c r="C78" s="246"/>
      <c r="D78" s="97">
        <v>48045.528</v>
      </c>
      <c r="E78" s="97">
        <f>38428.372+1040.74</f>
        <v>39469.112</v>
      </c>
      <c r="F78" s="128">
        <f t="shared" si="2"/>
        <v>-8576.415999999997</v>
      </c>
    </row>
    <row r="79" spans="1:8" ht="72" customHeight="1">
      <c r="A79" s="60" t="s">
        <v>558</v>
      </c>
      <c r="B79" s="246" t="s">
        <v>746</v>
      </c>
      <c r="C79" s="246"/>
      <c r="D79" s="97">
        <f>3064.058</f>
        <v>3064.058</v>
      </c>
      <c r="E79" s="97">
        <f>896.82255+173.41688</f>
        <v>1070.23943</v>
      </c>
      <c r="F79" s="128">
        <f t="shared" si="2"/>
        <v>-1993.81857</v>
      </c>
      <c r="H79" s="68"/>
    </row>
    <row r="80" spans="1:6" ht="57" customHeight="1">
      <c r="A80" s="60" t="s">
        <v>558</v>
      </c>
      <c r="B80" s="246" t="s">
        <v>447</v>
      </c>
      <c r="C80" s="246"/>
      <c r="D80" s="128">
        <v>768.474</v>
      </c>
      <c r="E80" s="128">
        <f>794.861+7.116</f>
        <v>801.977</v>
      </c>
      <c r="F80" s="128">
        <f t="shared" si="2"/>
        <v>33.50299999999993</v>
      </c>
    </row>
    <row r="81" spans="1:6" ht="66" customHeight="1" hidden="1">
      <c r="A81" s="60"/>
      <c r="B81" s="246"/>
      <c r="C81" s="246"/>
      <c r="D81" s="128"/>
      <c r="E81" s="128"/>
      <c r="F81" s="128"/>
    </row>
    <row r="82" spans="1:6" ht="60" customHeight="1">
      <c r="A82" s="60" t="s">
        <v>558</v>
      </c>
      <c r="B82" s="246" t="s">
        <v>317</v>
      </c>
      <c r="C82" s="246"/>
      <c r="D82" s="97">
        <v>11501.934</v>
      </c>
      <c r="E82" s="97">
        <v>11291.076</v>
      </c>
      <c r="F82" s="128">
        <f t="shared" si="2"/>
        <v>-210.85800000000017</v>
      </c>
    </row>
    <row r="83" spans="1:6" ht="64.5" customHeight="1" hidden="1">
      <c r="A83" s="60"/>
      <c r="B83" s="246"/>
      <c r="C83" s="246"/>
      <c r="D83" s="128"/>
      <c r="E83" s="128"/>
      <c r="F83" s="128">
        <f t="shared" si="2"/>
        <v>0</v>
      </c>
    </row>
    <row r="84" spans="1:6" ht="89.25" customHeight="1">
      <c r="A84" s="60" t="s">
        <v>558</v>
      </c>
      <c r="B84" s="246" t="s">
        <v>745</v>
      </c>
      <c r="C84" s="246"/>
      <c r="D84" s="97">
        <v>1.69524</v>
      </c>
      <c r="E84" s="97">
        <v>1.69524</v>
      </c>
      <c r="F84" s="128">
        <f t="shared" si="2"/>
        <v>0</v>
      </c>
    </row>
    <row r="85" spans="1:6" ht="75.75" customHeight="1">
      <c r="A85" s="60" t="s">
        <v>558</v>
      </c>
      <c r="B85" s="246" t="s">
        <v>726</v>
      </c>
      <c r="C85" s="246"/>
      <c r="D85" s="128">
        <v>316.235</v>
      </c>
      <c r="E85" s="128">
        <v>265.91093</v>
      </c>
      <c r="F85" s="128">
        <f t="shared" si="2"/>
        <v>-50.324070000000006</v>
      </c>
    </row>
    <row r="86" spans="1:6" ht="61.5" customHeight="1">
      <c r="A86" s="60" t="s">
        <v>654</v>
      </c>
      <c r="B86" s="246" t="s">
        <v>695</v>
      </c>
      <c r="C86" s="246"/>
      <c r="D86" s="128">
        <v>1804.088</v>
      </c>
      <c r="E86" s="128">
        <f>1865.848+16.655</f>
        <v>1882.503</v>
      </c>
      <c r="F86" s="128">
        <f t="shared" si="2"/>
        <v>78.41499999999996</v>
      </c>
    </row>
    <row r="87" spans="1:6" ht="84.75" customHeight="1">
      <c r="A87" s="60" t="s">
        <v>654</v>
      </c>
      <c r="B87" s="246" t="s">
        <v>685</v>
      </c>
      <c r="C87" s="249"/>
      <c r="D87" s="128">
        <v>18654.753</v>
      </c>
      <c r="E87" s="128">
        <f>14799.63122-1788.71266-1497.08925</f>
        <v>11513.829310000001</v>
      </c>
      <c r="F87" s="128">
        <f t="shared" si="2"/>
        <v>-7140.92369</v>
      </c>
    </row>
    <row r="88" spans="1:6" ht="71.25" customHeight="1" hidden="1">
      <c r="A88" s="60" t="s">
        <v>715</v>
      </c>
      <c r="B88" s="246" t="s">
        <v>714</v>
      </c>
      <c r="C88" s="249"/>
      <c r="D88" s="97">
        <v>0</v>
      </c>
      <c r="E88" s="97">
        <v>0</v>
      </c>
      <c r="F88" s="128">
        <f t="shared" si="2"/>
        <v>0</v>
      </c>
    </row>
    <row r="89" spans="1:6" ht="72.75" customHeight="1">
      <c r="A89" s="60" t="s">
        <v>654</v>
      </c>
      <c r="B89" s="246" t="s">
        <v>655</v>
      </c>
      <c r="C89" s="246"/>
      <c r="D89" s="97">
        <v>2375</v>
      </c>
      <c r="E89" s="97">
        <v>2160</v>
      </c>
      <c r="F89" s="128">
        <f t="shared" si="2"/>
        <v>-215</v>
      </c>
    </row>
    <row r="90" spans="1:8" ht="45.75" customHeight="1">
      <c r="A90" s="60" t="s">
        <v>558</v>
      </c>
      <c r="B90" s="246" t="s">
        <v>564</v>
      </c>
      <c r="C90" s="246"/>
      <c r="D90" s="97">
        <f>22243.702</f>
        <v>22243.702</v>
      </c>
      <c r="E90" s="97">
        <v>21997.9968</v>
      </c>
      <c r="F90" s="128">
        <f t="shared" si="2"/>
        <v>-245.70520000000033</v>
      </c>
      <c r="H90" s="68"/>
    </row>
    <row r="91" spans="1:6" ht="100.5" customHeight="1">
      <c r="A91" s="60" t="s">
        <v>558</v>
      </c>
      <c r="B91" s="246" t="s">
        <v>571</v>
      </c>
      <c r="C91" s="246"/>
      <c r="D91" s="97">
        <v>3.223</v>
      </c>
      <c r="E91" s="97">
        <v>3.38708</v>
      </c>
      <c r="F91" s="128">
        <f t="shared" si="2"/>
        <v>0.16408000000000023</v>
      </c>
    </row>
    <row r="92" spans="1:6" ht="157.5" customHeight="1">
      <c r="A92" s="60" t="s">
        <v>558</v>
      </c>
      <c r="B92" s="246" t="s">
        <v>961</v>
      </c>
      <c r="C92" s="246"/>
      <c r="D92" s="97">
        <v>4647.323</v>
      </c>
      <c r="E92" s="97">
        <v>89.342</v>
      </c>
      <c r="F92" s="128">
        <f>E92-D92</f>
        <v>-4557.981000000001</v>
      </c>
    </row>
    <row r="93" spans="1:6" ht="78.75" customHeight="1" hidden="1">
      <c r="A93" s="60" t="s">
        <v>944</v>
      </c>
      <c r="B93" s="246" t="s">
        <v>793</v>
      </c>
      <c r="C93" s="249"/>
      <c r="D93" s="97">
        <v>0</v>
      </c>
      <c r="E93" s="97">
        <v>0</v>
      </c>
      <c r="F93" s="128">
        <f>E93-D93</f>
        <v>0</v>
      </c>
    </row>
    <row r="94" spans="1:6" ht="26.25" customHeight="1">
      <c r="A94" s="95" t="s">
        <v>947</v>
      </c>
      <c r="B94" s="252" t="s">
        <v>948</v>
      </c>
      <c r="C94" s="252"/>
      <c r="D94" s="97"/>
      <c r="E94" s="111">
        <f>E95</f>
        <v>272.232</v>
      </c>
      <c r="F94" s="128"/>
    </row>
    <row r="95" spans="1:6" ht="66.75" customHeight="1">
      <c r="A95" s="60" t="s">
        <v>947</v>
      </c>
      <c r="B95" s="253" t="s">
        <v>945</v>
      </c>
      <c r="C95" s="254"/>
      <c r="D95" s="97"/>
      <c r="E95" s="97">
        <v>272.232</v>
      </c>
      <c r="F95" s="128"/>
    </row>
    <row r="96" spans="1:6" ht="18.75" customHeight="1">
      <c r="A96" s="130" t="s">
        <v>657</v>
      </c>
      <c r="B96" s="248" t="s">
        <v>673</v>
      </c>
      <c r="C96" s="248"/>
      <c r="D96" s="96">
        <f>D97+D98+D99</f>
        <v>4261.6</v>
      </c>
      <c r="E96" s="96">
        <f>E97+E98+E99</f>
        <v>21293.453999999998</v>
      </c>
      <c r="F96" s="96">
        <f>F97+F98+F99</f>
        <v>17031.854</v>
      </c>
    </row>
    <row r="97" spans="1:6" ht="83.25" customHeight="1" hidden="1">
      <c r="A97" s="13" t="s">
        <v>754</v>
      </c>
      <c r="B97" s="246" t="s">
        <v>755</v>
      </c>
      <c r="C97" s="249"/>
      <c r="D97" s="97">
        <v>0</v>
      </c>
      <c r="E97" s="97">
        <v>0</v>
      </c>
      <c r="F97" s="128">
        <f>E97-D97</f>
        <v>0</v>
      </c>
    </row>
    <row r="98" spans="1:6" ht="75.75" customHeight="1">
      <c r="A98" s="13" t="s">
        <v>791</v>
      </c>
      <c r="B98" s="246" t="s">
        <v>794</v>
      </c>
      <c r="C98" s="249"/>
      <c r="D98" s="97">
        <v>0</v>
      </c>
      <c r="E98" s="97">
        <f>12051+4563</f>
        <v>16614</v>
      </c>
      <c r="F98" s="128">
        <f>E98-D98</f>
        <v>16614</v>
      </c>
    </row>
    <row r="99" spans="1:6" ht="73.5" customHeight="1">
      <c r="A99" s="13" t="s">
        <v>658</v>
      </c>
      <c r="B99" s="250" t="s">
        <v>493</v>
      </c>
      <c r="C99" s="250"/>
      <c r="D99" s="97">
        <f>4261.6</f>
        <v>4261.6</v>
      </c>
      <c r="E99" s="97">
        <v>4679.454</v>
      </c>
      <c r="F99" s="128">
        <f>E99-D99</f>
        <v>417.85399999999936</v>
      </c>
    </row>
    <row r="100" spans="1:6" ht="15" customHeight="1" hidden="1">
      <c r="A100" s="13" t="s">
        <v>469</v>
      </c>
      <c r="B100" s="250" t="s">
        <v>343</v>
      </c>
      <c r="C100" s="250"/>
      <c r="D100" s="128"/>
      <c r="E100" s="128"/>
      <c r="F100" s="128"/>
    </row>
    <row r="101" spans="1:6" ht="15" customHeight="1" hidden="1">
      <c r="A101" s="13" t="s">
        <v>470</v>
      </c>
      <c r="B101" s="246" t="s">
        <v>373</v>
      </c>
      <c r="C101" s="246"/>
      <c r="D101" s="128"/>
      <c r="E101" s="128"/>
      <c r="F101" s="128"/>
    </row>
    <row r="102" spans="1:6" ht="15" customHeight="1" hidden="1">
      <c r="A102" s="13" t="s">
        <v>471</v>
      </c>
      <c r="B102" s="246" t="s">
        <v>326</v>
      </c>
      <c r="C102" s="246"/>
      <c r="D102" s="128"/>
      <c r="E102" s="128"/>
      <c r="F102" s="128"/>
    </row>
    <row r="103" spans="1:7" ht="13.5">
      <c r="A103" s="60"/>
      <c r="B103" s="247" t="s">
        <v>305</v>
      </c>
      <c r="C103" s="247"/>
      <c r="D103" s="96">
        <f>D10+D42</f>
        <v>503216.88323999994</v>
      </c>
      <c r="E103" s="96">
        <f>E10+E42</f>
        <v>593399.2610100001</v>
      </c>
      <c r="F103" s="96">
        <f>F10+F42</f>
        <v>70467.10376999999</v>
      </c>
      <c r="G103" s="68"/>
    </row>
    <row r="104" spans="3:5" ht="12.75">
      <c r="C104" s="197"/>
      <c r="E104" s="133"/>
    </row>
    <row r="105" spans="3:7" ht="12.75">
      <c r="C105" s="197"/>
      <c r="D105" s="133"/>
      <c r="E105" s="133"/>
      <c r="F105" s="133">
        <f>F103+2500</f>
        <v>72967.10376999999</v>
      </c>
      <c r="G105" s="195"/>
    </row>
    <row r="106" spans="3:7" ht="12.75">
      <c r="C106" s="197"/>
      <c r="D106" s="133"/>
      <c r="E106" s="133"/>
      <c r="G106" s="68"/>
    </row>
    <row r="107" ht="12.75">
      <c r="E107" s="133"/>
    </row>
  </sheetData>
  <sheetProtection/>
  <mergeCells count="107">
    <mergeCell ref="B94:C94"/>
    <mergeCell ref="B95:C95"/>
    <mergeCell ref="C1:E1"/>
    <mergeCell ref="C2:E2"/>
    <mergeCell ref="C3:E3"/>
    <mergeCell ref="H3:I3"/>
    <mergeCell ref="C4:E4"/>
    <mergeCell ref="H5:I5"/>
    <mergeCell ref="A6:E6"/>
    <mergeCell ref="B7:C7"/>
    <mergeCell ref="A8:A9"/>
    <mergeCell ref="B8:C9"/>
    <mergeCell ref="D8:D9"/>
    <mergeCell ref="E8:E9"/>
    <mergeCell ref="F8:F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9:C59"/>
    <mergeCell ref="B61:C61"/>
    <mergeCell ref="B62:C62"/>
    <mergeCell ref="B64:C64"/>
    <mergeCell ref="B65:C65"/>
    <mergeCell ref="B58:C58"/>
    <mergeCell ref="B63:C63"/>
    <mergeCell ref="B60:C60"/>
    <mergeCell ref="B66:C66"/>
    <mergeCell ref="B68:C68"/>
    <mergeCell ref="B72:C72"/>
    <mergeCell ref="B73:C73"/>
    <mergeCell ref="B74:C74"/>
    <mergeCell ref="B75:C75"/>
    <mergeCell ref="B69:C69"/>
    <mergeCell ref="B70:C70"/>
    <mergeCell ref="B71:C71"/>
    <mergeCell ref="B67:C67"/>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102:C102"/>
    <mergeCell ref="B103:C103"/>
    <mergeCell ref="B96:C96"/>
    <mergeCell ref="B97:C97"/>
    <mergeCell ref="B98:C98"/>
    <mergeCell ref="B99:C99"/>
    <mergeCell ref="B100:C100"/>
    <mergeCell ref="B101:C101"/>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sheetPr>
  <dimension ref="A1:L660"/>
  <sheetViews>
    <sheetView view="pageBreakPreview" zoomScale="84" zoomScaleSheetLayoutView="84" workbookViewId="0" topLeftCell="A574">
      <selection activeCell="A655" sqref="A655:IV669"/>
    </sheetView>
  </sheetViews>
  <sheetFormatPr defaultColWidth="8.625" defaultRowHeight="12.75"/>
  <cols>
    <col min="1" max="1" width="46.00390625" style="276" customWidth="1"/>
    <col min="2" max="2" width="4.625" style="31" customWidth="1"/>
    <col min="3" max="3" width="5.50390625" style="31" customWidth="1"/>
    <col min="4" max="4" width="14.625" style="31" customWidth="1"/>
    <col min="5" max="5" width="5.50390625" style="31" customWidth="1"/>
    <col min="6" max="6" width="16.00390625" style="147" customWidth="1"/>
    <col min="7" max="7" width="18.625" style="147" customWidth="1"/>
    <col min="8" max="8" width="16.50390625" style="147" customWidth="1"/>
    <col min="9" max="9" width="16.375" style="147" bestFit="1" customWidth="1"/>
    <col min="10" max="10" width="16.375" style="147" customWidth="1"/>
    <col min="11" max="12" width="12.50390625" style="147" bestFit="1" customWidth="1"/>
    <col min="13" max="16384" width="8.625" style="147" customWidth="1"/>
  </cols>
  <sheetData>
    <row r="1" spans="1:8" ht="15">
      <c r="A1" s="10"/>
      <c r="B1" s="10"/>
      <c r="C1" s="10"/>
      <c r="D1" s="10"/>
      <c r="F1" s="242" t="s">
        <v>525</v>
      </c>
      <c r="G1" s="242"/>
      <c r="H1" s="242"/>
    </row>
    <row r="2" spans="6:8" ht="15">
      <c r="F2" s="242" t="s">
        <v>410</v>
      </c>
      <c r="G2" s="242"/>
      <c r="H2" s="242"/>
    </row>
    <row r="3" spans="6:8" ht="15">
      <c r="F3" s="242" t="s">
        <v>411</v>
      </c>
      <c r="G3" s="242"/>
      <c r="H3" s="242"/>
    </row>
    <row r="4" spans="6:8" ht="15.75" customHeight="1">
      <c r="F4" s="277" t="s">
        <v>964</v>
      </c>
      <c r="G4" s="242"/>
      <c r="H4" s="242"/>
    </row>
    <row r="5" ht="4.5" customHeight="1"/>
    <row r="6" spans="1:8" ht="15">
      <c r="A6" s="266" t="s">
        <v>412</v>
      </c>
      <c r="B6" s="266"/>
      <c r="C6" s="266"/>
      <c r="D6" s="266"/>
      <c r="E6" s="266"/>
      <c r="F6" s="266"/>
      <c r="G6" s="266"/>
      <c r="H6" s="266"/>
    </row>
    <row r="7" spans="1:8" ht="16.5" customHeight="1">
      <c r="A7" s="266" t="s">
        <v>865</v>
      </c>
      <c r="B7" s="266"/>
      <c r="C7" s="266"/>
      <c r="D7" s="266"/>
      <c r="E7" s="266"/>
      <c r="F7" s="266"/>
      <c r="G7" s="266"/>
      <c r="H7" s="266"/>
    </row>
    <row r="8" spans="1:8" ht="15.75" customHeight="1">
      <c r="A8" s="266" t="s">
        <v>136</v>
      </c>
      <c r="B8" s="266"/>
      <c r="C8" s="266"/>
      <c r="D8" s="266"/>
      <c r="E8" s="266"/>
      <c r="F8" s="266"/>
      <c r="G8" s="266"/>
      <c r="H8" s="266"/>
    </row>
    <row r="9" spans="1:8" ht="15.75" customHeight="1">
      <c r="A9" s="8"/>
      <c r="B9" s="8"/>
      <c r="C9" s="148"/>
      <c r="D9" s="148"/>
      <c r="E9" s="148"/>
      <c r="F9" s="148"/>
      <c r="G9" s="148"/>
      <c r="H9" s="146" t="s">
        <v>375</v>
      </c>
    </row>
    <row r="10" spans="1:8" ht="12" customHeight="1">
      <c r="A10" s="278" t="s">
        <v>350</v>
      </c>
      <c r="B10" s="278" t="s">
        <v>144</v>
      </c>
      <c r="C10" s="278" t="s">
        <v>145</v>
      </c>
      <c r="D10" s="278" t="s">
        <v>352</v>
      </c>
      <c r="E10" s="278" t="s">
        <v>146</v>
      </c>
      <c r="F10" s="244" t="s">
        <v>551</v>
      </c>
      <c r="G10" s="244" t="s">
        <v>354</v>
      </c>
      <c r="H10" s="244"/>
    </row>
    <row r="11" spans="1:8" ht="52.5" customHeight="1">
      <c r="A11" s="278"/>
      <c r="B11" s="278"/>
      <c r="C11" s="278"/>
      <c r="D11" s="278"/>
      <c r="E11" s="278"/>
      <c r="F11" s="244"/>
      <c r="G11" s="32" t="s">
        <v>135</v>
      </c>
      <c r="H11" s="32" t="s">
        <v>247</v>
      </c>
    </row>
    <row r="12" spans="1:8" s="161" customFormat="1" ht="12" customHeight="1">
      <c r="A12" s="24">
        <v>1</v>
      </c>
      <c r="B12" s="24">
        <v>2</v>
      </c>
      <c r="C12" s="24">
        <v>3</v>
      </c>
      <c r="D12" s="24">
        <v>4</v>
      </c>
      <c r="E12" s="24">
        <v>5</v>
      </c>
      <c r="F12" s="32">
        <v>6</v>
      </c>
      <c r="G12" s="32">
        <v>7</v>
      </c>
      <c r="H12" s="149">
        <v>8</v>
      </c>
    </row>
    <row r="13" spans="1:12" ht="18.75" customHeight="1">
      <c r="A13" s="64" t="s">
        <v>147</v>
      </c>
      <c r="B13" s="21" t="s">
        <v>148</v>
      </c>
      <c r="C13" s="21" t="s">
        <v>149</v>
      </c>
      <c r="D13" s="21" t="s">
        <v>322</v>
      </c>
      <c r="E13" s="21" t="s">
        <v>414</v>
      </c>
      <c r="F13" s="117">
        <f>G13+H13</f>
        <v>45454.16461</v>
      </c>
      <c r="G13" s="117">
        <f>G14+G20+G35+G48+G66+G70+G76+G82+G45</f>
        <v>39823.339009999996</v>
      </c>
      <c r="H13" s="117">
        <f>H14+H20+H35+H48+H66+H82+H45</f>
        <v>5630.825600000001</v>
      </c>
      <c r="K13" s="155"/>
      <c r="L13" s="155"/>
    </row>
    <row r="14" spans="1:8" ht="47.25" customHeight="1">
      <c r="A14" s="29" t="s">
        <v>358</v>
      </c>
      <c r="B14" s="14" t="s">
        <v>148</v>
      </c>
      <c r="C14" s="14" t="s">
        <v>150</v>
      </c>
      <c r="D14" s="14" t="s">
        <v>322</v>
      </c>
      <c r="E14" s="14" t="s">
        <v>414</v>
      </c>
      <c r="F14" s="66">
        <f>G14+H14</f>
        <v>1836.31</v>
      </c>
      <c r="G14" s="66">
        <f aca="true" t="shared" si="0" ref="G14:H17">G15</f>
        <v>1836.31</v>
      </c>
      <c r="H14" s="66">
        <f t="shared" si="0"/>
        <v>0</v>
      </c>
    </row>
    <row r="15" spans="1:8" ht="33" customHeight="1">
      <c r="A15" s="29" t="s">
        <v>151</v>
      </c>
      <c r="B15" s="14" t="s">
        <v>148</v>
      </c>
      <c r="C15" s="14" t="s">
        <v>150</v>
      </c>
      <c r="D15" s="14" t="s">
        <v>10</v>
      </c>
      <c r="E15" s="14" t="s">
        <v>414</v>
      </c>
      <c r="F15" s="66">
        <f aca="true" t="shared" si="1" ref="F15:F36">G15+H15</f>
        <v>1836.31</v>
      </c>
      <c r="G15" s="66">
        <f t="shared" si="0"/>
        <v>1836.31</v>
      </c>
      <c r="H15" s="66">
        <f t="shared" si="0"/>
        <v>0</v>
      </c>
    </row>
    <row r="16" spans="1:8" ht="48" customHeight="1">
      <c r="A16" s="29" t="s">
        <v>152</v>
      </c>
      <c r="B16" s="14" t="s">
        <v>148</v>
      </c>
      <c r="C16" s="14" t="s">
        <v>150</v>
      </c>
      <c r="D16" s="14" t="s">
        <v>11</v>
      </c>
      <c r="E16" s="14" t="s">
        <v>414</v>
      </c>
      <c r="F16" s="66">
        <f t="shared" si="1"/>
        <v>1836.31</v>
      </c>
      <c r="G16" s="66">
        <f t="shared" si="0"/>
        <v>1836.31</v>
      </c>
      <c r="H16" s="66">
        <f t="shared" si="0"/>
        <v>0</v>
      </c>
    </row>
    <row r="17" spans="1:8" s="150" customFormat="1" ht="16.5" customHeight="1">
      <c r="A17" s="33" t="s">
        <v>419</v>
      </c>
      <c r="B17" s="30" t="s">
        <v>148</v>
      </c>
      <c r="C17" s="30" t="s">
        <v>150</v>
      </c>
      <c r="D17" s="30" t="s">
        <v>12</v>
      </c>
      <c r="E17" s="30" t="s">
        <v>414</v>
      </c>
      <c r="F17" s="67">
        <f t="shared" si="1"/>
        <v>1836.31</v>
      </c>
      <c r="G17" s="67">
        <f>G18</f>
        <v>1836.31</v>
      </c>
      <c r="H17" s="67">
        <f t="shared" si="0"/>
        <v>0</v>
      </c>
    </row>
    <row r="18" spans="1:8" ht="95.25" customHeight="1">
      <c r="A18" s="29" t="s">
        <v>186</v>
      </c>
      <c r="B18" s="14" t="s">
        <v>148</v>
      </c>
      <c r="C18" s="14" t="s">
        <v>150</v>
      </c>
      <c r="D18" s="14" t="s">
        <v>12</v>
      </c>
      <c r="E18" s="14" t="s">
        <v>153</v>
      </c>
      <c r="F18" s="66">
        <f t="shared" si="1"/>
        <v>1836.31</v>
      </c>
      <c r="G18" s="66">
        <f>G19</f>
        <v>1836.31</v>
      </c>
      <c r="H18" s="66"/>
    </row>
    <row r="19" spans="1:8" ht="33.75" customHeight="1">
      <c r="A19" s="29" t="s">
        <v>188</v>
      </c>
      <c r="B19" s="14" t="s">
        <v>148</v>
      </c>
      <c r="C19" s="14" t="s">
        <v>150</v>
      </c>
      <c r="D19" s="14" t="s">
        <v>12</v>
      </c>
      <c r="E19" s="14" t="s">
        <v>187</v>
      </c>
      <c r="F19" s="66">
        <f>G19+H19</f>
        <v>1836.31</v>
      </c>
      <c r="G19" s="66">
        <f>1836.31</f>
        <v>1836.31</v>
      </c>
      <c r="H19" s="66"/>
    </row>
    <row r="20" spans="1:10" ht="65.25" customHeight="1">
      <c r="A20" s="29" t="s">
        <v>154</v>
      </c>
      <c r="B20" s="14" t="s">
        <v>148</v>
      </c>
      <c r="C20" s="14" t="s">
        <v>155</v>
      </c>
      <c r="D20" s="14" t="s">
        <v>322</v>
      </c>
      <c r="E20" s="14" t="s">
        <v>414</v>
      </c>
      <c r="F20" s="66">
        <f t="shared" si="1"/>
        <v>3847.8</v>
      </c>
      <c r="G20" s="66">
        <f>G21</f>
        <v>3847.8</v>
      </c>
      <c r="H20" s="66">
        <f>H21</f>
        <v>0</v>
      </c>
      <c r="J20" s="155"/>
    </row>
    <row r="21" spans="1:8" ht="33" customHeight="1">
      <c r="A21" s="29" t="s">
        <v>151</v>
      </c>
      <c r="B21" s="14" t="s">
        <v>148</v>
      </c>
      <c r="C21" s="14" t="s">
        <v>155</v>
      </c>
      <c r="D21" s="14" t="s">
        <v>10</v>
      </c>
      <c r="E21" s="14" t="s">
        <v>414</v>
      </c>
      <c r="F21" s="66">
        <f t="shared" si="1"/>
        <v>3847.8</v>
      </c>
      <c r="G21" s="66">
        <f>G22</f>
        <v>3847.8</v>
      </c>
      <c r="H21" s="66">
        <f>H22</f>
        <v>0</v>
      </c>
    </row>
    <row r="22" spans="1:8" ht="47.25" customHeight="1">
      <c r="A22" s="29" t="s">
        <v>152</v>
      </c>
      <c r="B22" s="14" t="s">
        <v>148</v>
      </c>
      <c r="C22" s="14" t="s">
        <v>155</v>
      </c>
      <c r="D22" s="14" t="s">
        <v>11</v>
      </c>
      <c r="E22" s="14" t="s">
        <v>414</v>
      </c>
      <c r="F22" s="66">
        <f t="shared" si="1"/>
        <v>3847.8</v>
      </c>
      <c r="G22" s="66">
        <f>G28+G23</f>
        <v>3847.8</v>
      </c>
      <c r="H22" s="66">
        <f>H28+H23</f>
        <v>0</v>
      </c>
    </row>
    <row r="23" spans="1:8" s="150" customFormat="1" ht="33.75" customHeight="1">
      <c r="A23" s="33" t="s">
        <v>181</v>
      </c>
      <c r="B23" s="30" t="s">
        <v>148</v>
      </c>
      <c r="C23" s="30" t="s">
        <v>155</v>
      </c>
      <c r="D23" s="30" t="s">
        <v>13</v>
      </c>
      <c r="E23" s="30" t="s">
        <v>414</v>
      </c>
      <c r="F23" s="67">
        <f t="shared" si="1"/>
        <v>1683</v>
      </c>
      <c r="G23" s="67">
        <f>G24+G26</f>
        <v>1683</v>
      </c>
      <c r="H23" s="67"/>
    </row>
    <row r="24" spans="1:8" ht="98.25" customHeight="1">
      <c r="A24" s="29" t="s">
        <v>186</v>
      </c>
      <c r="B24" s="14" t="s">
        <v>148</v>
      </c>
      <c r="C24" s="14" t="s">
        <v>155</v>
      </c>
      <c r="D24" s="14" t="s">
        <v>13</v>
      </c>
      <c r="E24" s="14" t="s">
        <v>153</v>
      </c>
      <c r="F24" s="66">
        <f t="shared" si="1"/>
        <v>1668</v>
      </c>
      <c r="G24" s="66">
        <f>G25</f>
        <v>1668</v>
      </c>
      <c r="H24" s="66"/>
    </row>
    <row r="25" spans="1:8" ht="35.25" customHeight="1">
      <c r="A25" s="29" t="s">
        <v>188</v>
      </c>
      <c r="B25" s="14" t="s">
        <v>148</v>
      </c>
      <c r="C25" s="14" t="s">
        <v>155</v>
      </c>
      <c r="D25" s="14" t="s">
        <v>13</v>
      </c>
      <c r="E25" s="14" t="s">
        <v>187</v>
      </c>
      <c r="F25" s="66">
        <f t="shared" si="1"/>
        <v>1668</v>
      </c>
      <c r="G25" s="134">
        <v>1668</v>
      </c>
      <c r="H25" s="66"/>
    </row>
    <row r="26" spans="1:8" ht="35.25" customHeight="1">
      <c r="A26" s="29" t="s">
        <v>189</v>
      </c>
      <c r="B26" s="14" t="s">
        <v>148</v>
      </c>
      <c r="C26" s="14" t="s">
        <v>155</v>
      </c>
      <c r="D26" s="14" t="s">
        <v>13</v>
      </c>
      <c r="E26" s="14" t="s">
        <v>157</v>
      </c>
      <c r="F26" s="66">
        <f>G26+H26</f>
        <v>15</v>
      </c>
      <c r="G26" s="66">
        <f>G27</f>
        <v>15</v>
      </c>
      <c r="H26" s="66">
        <f>H27</f>
        <v>0</v>
      </c>
    </row>
    <row r="27" spans="1:8" ht="48" customHeight="1">
      <c r="A27" s="29" t="s">
        <v>190</v>
      </c>
      <c r="B27" s="14" t="s">
        <v>148</v>
      </c>
      <c r="C27" s="14" t="s">
        <v>155</v>
      </c>
      <c r="D27" s="14" t="s">
        <v>13</v>
      </c>
      <c r="E27" s="14" t="s">
        <v>191</v>
      </c>
      <c r="F27" s="66">
        <f>G27+H27</f>
        <v>15</v>
      </c>
      <c r="G27" s="66">
        <v>15</v>
      </c>
      <c r="H27" s="66"/>
    </row>
    <row r="28" spans="1:9" s="150" customFormat="1" ht="48.75" customHeight="1">
      <c r="A28" s="33" t="s">
        <v>156</v>
      </c>
      <c r="B28" s="30" t="s">
        <v>148</v>
      </c>
      <c r="C28" s="30" t="s">
        <v>155</v>
      </c>
      <c r="D28" s="30" t="s">
        <v>14</v>
      </c>
      <c r="E28" s="30" t="s">
        <v>414</v>
      </c>
      <c r="F28" s="67">
        <f t="shared" si="1"/>
        <v>2164.8</v>
      </c>
      <c r="G28" s="67">
        <f>G29+G31+G33</f>
        <v>2164.8</v>
      </c>
      <c r="H28" s="67">
        <f>SUM(H29:H32)</f>
        <v>0</v>
      </c>
      <c r="I28" s="184"/>
    </row>
    <row r="29" spans="1:8" ht="94.5" customHeight="1">
      <c r="A29" s="29" t="s">
        <v>186</v>
      </c>
      <c r="B29" s="14" t="s">
        <v>148</v>
      </c>
      <c r="C29" s="14" t="s">
        <v>155</v>
      </c>
      <c r="D29" s="14" t="s">
        <v>14</v>
      </c>
      <c r="E29" s="14" t="s">
        <v>153</v>
      </c>
      <c r="F29" s="66">
        <f t="shared" si="1"/>
        <v>1320.6870000000001</v>
      </c>
      <c r="G29" s="66">
        <f>G30</f>
        <v>1320.6870000000001</v>
      </c>
      <c r="H29" s="66"/>
    </row>
    <row r="30" spans="1:8" ht="35.25" customHeight="1">
      <c r="A30" s="29" t="s">
        <v>188</v>
      </c>
      <c r="B30" s="14" t="s">
        <v>148</v>
      </c>
      <c r="C30" s="14" t="s">
        <v>155</v>
      </c>
      <c r="D30" s="14" t="s">
        <v>14</v>
      </c>
      <c r="E30" s="14" t="s">
        <v>187</v>
      </c>
      <c r="F30" s="66">
        <f t="shared" si="1"/>
        <v>1320.6870000000001</v>
      </c>
      <c r="G30" s="66">
        <f>1820.9-197.166-238.432-64.615</f>
        <v>1320.6870000000001</v>
      </c>
      <c r="H30" s="66"/>
    </row>
    <row r="31" spans="1:8" ht="33" customHeight="1">
      <c r="A31" s="29" t="s">
        <v>189</v>
      </c>
      <c r="B31" s="14" t="s">
        <v>148</v>
      </c>
      <c r="C31" s="14" t="s">
        <v>155</v>
      </c>
      <c r="D31" s="14" t="s">
        <v>14</v>
      </c>
      <c r="E31" s="14" t="s">
        <v>157</v>
      </c>
      <c r="F31" s="66">
        <f t="shared" si="1"/>
        <v>839.113</v>
      </c>
      <c r="G31" s="66">
        <f>G32</f>
        <v>839.113</v>
      </c>
      <c r="H31" s="66"/>
    </row>
    <row r="32" spans="1:8" ht="50.25" customHeight="1">
      <c r="A32" s="29" t="s">
        <v>190</v>
      </c>
      <c r="B32" s="14" t="s">
        <v>148</v>
      </c>
      <c r="C32" s="14" t="s">
        <v>155</v>
      </c>
      <c r="D32" s="14" t="s">
        <v>14</v>
      </c>
      <c r="E32" s="14" t="s">
        <v>191</v>
      </c>
      <c r="F32" s="66">
        <f t="shared" si="1"/>
        <v>839.113</v>
      </c>
      <c r="G32" s="66">
        <f>2164.8-1820.9-5+197.166+238.432+64.615</f>
        <v>839.113</v>
      </c>
      <c r="H32" s="66"/>
    </row>
    <row r="33" spans="1:8" ht="19.5" customHeight="1">
      <c r="A33" s="29" t="s">
        <v>194</v>
      </c>
      <c r="B33" s="14" t="s">
        <v>148</v>
      </c>
      <c r="C33" s="14" t="s">
        <v>155</v>
      </c>
      <c r="D33" s="14" t="s">
        <v>14</v>
      </c>
      <c r="E33" s="14" t="s">
        <v>195</v>
      </c>
      <c r="F33" s="66">
        <f>G33+H33</f>
        <v>5</v>
      </c>
      <c r="G33" s="66">
        <f>G34</f>
        <v>5</v>
      </c>
      <c r="H33" s="66"/>
    </row>
    <row r="34" spans="1:8" ht="18.75" customHeight="1">
      <c r="A34" s="29" t="s">
        <v>192</v>
      </c>
      <c r="B34" s="14" t="s">
        <v>148</v>
      </c>
      <c r="C34" s="14" t="s">
        <v>155</v>
      </c>
      <c r="D34" s="14" t="s">
        <v>14</v>
      </c>
      <c r="E34" s="14" t="s">
        <v>193</v>
      </c>
      <c r="F34" s="66">
        <f>G34+H34</f>
        <v>5</v>
      </c>
      <c r="G34" s="66">
        <v>5</v>
      </c>
      <c r="H34" s="66"/>
    </row>
    <row r="35" spans="1:10" ht="82.5" customHeight="1">
      <c r="A35" s="29" t="s">
        <v>340</v>
      </c>
      <c r="B35" s="14" t="s">
        <v>148</v>
      </c>
      <c r="C35" s="14" t="s">
        <v>159</v>
      </c>
      <c r="D35" s="14" t="s">
        <v>322</v>
      </c>
      <c r="E35" s="14" t="s">
        <v>414</v>
      </c>
      <c r="F35" s="66">
        <f t="shared" si="1"/>
        <v>19100.332</v>
      </c>
      <c r="G35" s="66">
        <f>G36</f>
        <v>19100.332</v>
      </c>
      <c r="H35" s="66"/>
      <c r="J35" s="157"/>
    </row>
    <row r="36" spans="1:9" ht="33.75" customHeight="1">
      <c r="A36" s="29" t="s">
        <v>151</v>
      </c>
      <c r="B36" s="14" t="s">
        <v>148</v>
      </c>
      <c r="C36" s="14" t="s">
        <v>159</v>
      </c>
      <c r="D36" s="14" t="s">
        <v>10</v>
      </c>
      <c r="E36" s="14" t="s">
        <v>414</v>
      </c>
      <c r="F36" s="66">
        <f t="shared" si="1"/>
        <v>19100.332</v>
      </c>
      <c r="G36" s="66">
        <f>G37</f>
        <v>19100.332</v>
      </c>
      <c r="H36" s="66"/>
      <c r="I36" s="151"/>
    </row>
    <row r="37" spans="1:8" ht="47.25" customHeight="1">
      <c r="A37" s="29" t="s">
        <v>152</v>
      </c>
      <c r="B37" s="14" t="s">
        <v>148</v>
      </c>
      <c r="C37" s="14" t="s">
        <v>159</v>
      </c>
      <c r="D37" s="14" t="s">
        <v>11</v>
      </c>
      <c r="E37" s="14" t="s">
        <v>414</v>
      </c>
      <c r="F37" s="66">
        <f>G37+H37</f>
        <v>19100.332</v>
      </c>
      <c r="G37" s="66">
        <f>G38</f>
        <v>19100.332</v>
      </c>
      <c r="H37" s="66">
        <f>H38</f>
        <v>0</v>
      </c>
    </row>
    <row r="38" spans="1:10" s="150" customFormat="1" ht="48.75" customHeight="1">
      <c r="A38" s="33" t="s">
        <v>156</v>
      </c>
      <c r="B38" s="30" t="s">
        <v>148</v>
      </c>
      <c r="C38" s="30" t="s">
        <v>159</v>
      </c>
      <c r="D38" s="30" t="s">
        <v>14</v>
      </c>
      <c r="E38" s="30" t="s">
        <v>414</v>
      </c>
      <c r="F38" s="67">
        <f aca="true" t="shared" si="2" ref="F38:F173">G38+H38</f>
        <v>19100.332</v>
      </c>
      <c r="G38" s="67">
        <f>G39+G41+G43</f>
        <v>19100.332</v>
      </c>
      <c r="H38" s="67">
        <f>SUM(H39:H42)</f>
        <v>0</v>
      </c>
      <c r="J38" s="184"/>
    </row>
    <row r="39" spans="1:8" ht="96" customHeight="1">
      <c r="A39" s="29" t="s">
        <v>186</v>
      </c>
      <c r="B39" s="14" t="s">
        <v>148</v>
      </c>
      <c r="C39" s="14" t="s">
        <v>159</v>
      </c>
      <c r="D39" s="14" t="s">
        <v>14</v>
      </c>
      <c r="E39" s="14" t="s">
        <v>153</v>
      </c>
      <c r="F39" s="66">
        <f t="shared" si="2"/>
        <v>11817</v>
      </c>
      <c r="G39" s="66">
        <f>G40</f>
        <v>11817</v>
      </c>
      <c r="H39" s="66"/>
    </row>
    <row r="40" spans="1:10" ht="39" customHeight="1">
      <c r="A40" s="29" t="s">
        <v>188</v>
      </c>
      <c r="B40" s="14" t="s">
        <v>148</v>
      </c>
      <c r="C40" s="14" t="s">
        <v>159</v>
      </c>
      <c r="D40" s="14" t="s">
        <v>14</v>
      </c>
      <c r="E40" s="14" t="s">
        <v>187</v>
      </c>
      <c r="F40" s="66">
        <f t="shared" si="2"/>
        <v>11817</v>
      </c>
      <c r="G40" s="66">
        <f>9060.7+250+2736.3-230</f>
        <v>11817</v>
      </c>
      <c r="H40" s="66"/>
      <c r="J40" s="155"/>
    </row>
    <row r="41" spans="1:8" ht="33" customHeight="1">
      <c r="A41" s="29" t="s">
        <v>189</v>
      </c>
      <c r="B41" s="14" t="s">
        <v>148</v>
      </c>
      <c r="C41" s="14" t="s">
        <v>159</v>
      </c>
      <c r="D41" s="14" t="s">
        <v>14</v>
      </c>
      <c r="E41" s="14" t="s">
        <v>157</v>
      </c>
      <c r="F41" s="66">
        <f t="shared" si="2"/>
        <v>6775.82</v>
      </c>
      <c r="G41" s="66">
        <f>G42</f>
        <v>6775.82</v>
      </c>
      <c r="H41" s="66"/>
    </row>
    <row r="42" spans="1:8" ht="49.5" customHeight="1">
      <c r="A42" s="29" t="s">
        <v>190</v>
      </c>
      <c r="B42" s="14" t="s">
        <v>148</v>
      </c>
      <c r="C42" s="14" t="s">
        <v>159</v>
      </c>
      <c r="D42" s="14" t="s">
        <v>14</v>
      </c>
      <c r="E42" s="14" t="s">
        <v>191</v>
      </c>
      <c r="F42" s="66">
        <f t="shared" si="2"/>
        <v>6775.82</v>
      </c>
      <c r="G42" s="66">
        <f>6545.82+230</f>
        <v>6775.82</v>
      </c>
      <c r="H42" s="66"/>
    </row>
    <row r="43" spans="1:8" ht="18" customHeight="1">
      <c r="A43" s="29" t="s">
        <v>194</v>
      </c>
      <c r="B43" s="14" t="s">
        <v>148</v>
      </c>
      <c r="C43" s="14" t="s">
        <v>159</v>
      </c>
      <c r="D43" s="14" t="s">
        <v>14</v>
      </c>
      <c r="E43" s="14" t="s">
        <v>195</v>
      </c>
      <c r="F43" s="66">
        <f t="shared" si="2"/>
        <v>507.512</v>
      </c>
      <c r="G43" s="66">
        <f>G44</f>
        <v>507.512</v>
      </c>
      <c r="H43" s="66"/>
    </row>
    <row r="44" spans="1:8" ht="17.25" customHeight="1">
      <c r="A44" s="62" t="s">
        <v>192</v>
      </c>
      <c r="B44" s="14" t="s">
        <v>148</v>
      </c>
      <c r="C44" s="14" t="s">
        <v>159</v>
      </c>
      <c r="D44" s="14" t="s">
        <v>14</v>
      </c>
      <c r="E44" s="14" t="s">
        <v>193</v>
      </c>
      <c r="F44" s="66">
        <f t="shared" si="2"/>
        <v>507.512</v>
      </c>
      <c r="G44" s="66">
        <f>492-40.158+55.67</f>
        <v>507.512</v>
      </c>
      <c r="H44" s="66"/>
    </row>
    <row r="45" spans="1:8" ht="49.5" customHeight="1">
      <c r="A45" s="62" t="s">
        <v>747</v>
      </c>
      <c r="B45" s="14" t="s">
        <v>148</v>
      </c>
      <c r="C45" s="14" t="s">
        <v>393</v>
      </c>
      <c r="D45" s="14" t="s">
        <v>465</v>
      </c>
      <c r="E45" s="14" t="s">
        <v>414</v>
      </c>
      <c r="F45" s="66">
        <f>H45</f>
        <v>26.012800000000002</v>
      </c>
      <c r="G45" s="66"/>
      <c r="H45" s="66">
        <f>H46</f>
        <v>26.012800000000002</v>
      </c>
    </row>
    <row r="46" spans="1:8" ht="33.75" customHeight="1">
      <c r="A46" s="29" t="s">
        <v>189</v>
      </c>
      <c r="B46" s="14" t="s">
        <v>148</v>
      </c>
      <c r="C46" s="14" t="s">
        <v>393</v>
      </c>
      <c r="D46" s="14" t="s">
        <v>465</v>
      </c>
      <c r="E46" s="14" t="s">
        <v>157</v>
      </c>
      <c r="F46" s="66">
        <f>H46</f>
        <v>26.012800000000002</v>
      </c>
      <c r="G46" s="66"/>
      <c r="H46" s="66">
        <f>H47</f>
        <v>26.012800000000002</v>
      </c>
    </row>
    <row r="47" spans="1:8" ht="52.5" customHeight="1">
      <c r="A47" s="29" t="s">
        <v>190</v>
      </c>
      <c r="B47" s="14" t="s">
        <v>148</v>
      </c>
      <c r="C47" s="14" t="s">
        <v>393</v>
      </c>
      <c r="D47" s="14" t="s">
        <v>465</v>
      </c>
      <c r="E47" s="14" t="s">
        <v>191</v>
      </c>
      <c r="F47" s="66">
        <f>H47</f>
        <v>26.012800000000002</v>
      </c>
      <c r="G47" s="66"/>
      <c r="H47" s="66">
        <f>26.012+0.0008</f>
        <v>26.012800000000002</v>
      </c>
    </row>
    <row r="48" spans="1:10" ht="63" customHeight="1">
      <c r="A48" s="44" t="s">
        <v>403</v>
      </c>
      <c r="B48" s="61" t="s">
        <v>148</v>
      </c>
      <c r="C48" s="61" t="s">
        <v>161</v>
      </c>
      <c r="D48" s="61" t="s">
        <v>322</v>
      </c>
      <c r="E48" s="61" t="s">
        <v>414</v>
      </c>
      <c r="F48" s="114">
        <f>G48+H48</f>
        <v>8140.620000000001</v>
      </c>
      <c r="G48" s="114">
        <f>G49</f>
        <v>8140.620000000001</v>
      </c>
      <c r="H48" s="114">
        <f>H49</f>
        <v>0</v>
      </c>
      <c r="J48" s="151"/>
    </row>
    <row r="49" spans="1:8" ht="33.75" customHeight="1">
      <c r="A49" s="29" t="s">
        <v>361</v>
      </c>
      <c r="B49" s="14" t="s">
        <v>148</v>
      </c>
      <c r="C49" s="14" t="s">
        <v>161</v>
      </c>
      <c r="D49" s="14" t="s">
        <v>10</v>
      </c>
      <c r="E49" s="14" t="s">
        <v>414</v>
      </c>
      <c r="F49" s="66">
        <f t="shared" si="2"/>
        <v>8140.620000000001</v>
      </c>
      <c r="G49" s="66">
        <f>G50</f>
        <v>8140.620000000001</v>
      </c>
      <c r="H49" s="66">
        <f>H50</f>
        <v>0</v>
      </c>
    </row>
    <row r="50" spans="1:8" ht="47.25" customHeight="1">
      <c r="A50" s="29" t="s">
        <v>152</v>
      </c>
      <c r="B50" s="14" t="s">
        <v>148</v>
      </c>
      <c r="C50" s="14" t="s">
        <v>161</v>
      </c>
      <c r="D50" s="14" t="s">
        <v>11</v>
      </c>
      <c r="E50" s="14" t="s">
        <v>414</v>
      </c>
      <c r="F50" s="66">
        <f t="shared" si="2"/>
        <v>8140.620000000001</v>
      </c>
      <c r="G50" s="66">
        <f>G51+G58+G63</f>
        <v>8140.620000000001</v>
      </c>
      <c r="H50" s="66">
        <f>H51+H58+H63</f>
        <v>0</v>
      </c>
    </row>
    <row r="51" spans="1:9" s="150" customFormat="1" ht="48.75" customHeight="1">
      <c r="A51" s="33" t="s">
        <v>293</v>
      </c>
      <c r="B51" s="30" t="s">
        <v>148</v>
      </c>
      <c r="C51" s="30" t="s">
        <v>161</v>
      </c>
      <c r="D51" s="30" t="s">
        <v>14</v>
      </c>
      <c r="E51" s="30" t="s">
        <v>414</v>
      </c>
      <c r="F51" s="67">
        <f t="shared" si="2"/>
        <v>6459.920000000001</v>
      </c>
      <c r="G51" s="67">
        <f>G52+G54+G56</f>
        <v>6459.920000000001</v>
      </c>
      <c r="H51" s="67">
        <f>SUM(H52:H57)</f>
        <v>0</v>
      </c>
      <c r="I51" s="279"/>
    </row>
    <row r="52" spans="1:8" ht="95.25" customHeight="1">
      <c r="A52" s="29" t="s">
        <v>186</v>
      </c>
      <c r="B52" s="14" t="s">
        <v>148</v>
      </c>
      <c r="C52" s="14" t="s">
        <v>161</v>
      </c>
      <c r="D52" s="14" t="s">
        <v>14</v>
      </c>
      <c r="E52" s="14" t="s">
        <v>153</v>
      </c>
      <c r="F52" s="66">
        <f t="shared" si="2"/>
        <v>5591.120000000001</v>
      </c>
      <c r="G52" s="66">
        <f>G53</f>
        <v>5591.120000000001</v>
      </c>
      <c r="H52" s="66"/>
    </row>
    <row r="53" spans="1:8" ht="33" customHeight="1">
      <c r="A53" s="29" t="s">
        <v>188</v>
      </c>
      <c r="B53" s="14" t="s">
        <v>148</v>
      </c>
      <c r="C53" s="14" t="s">
        <v>161</v>
      </c>
      <c r="D53" s="14" t="s">
        <v>14</v>
      </c>
      <c r="E53" s="14" t="s">
        <v>187</v>
      </c>
      <c r="F53" s="66">
        <f t="shared" si="2"/>
        <v>5591.120000000001</v>
      </c>
      <c r="G53" s="66">
        <f>4284.5+12.7+1293.9+0.02</f>
        <v>5591.120000000001</v>
      </c>
      <c r="H53" s="66"/>
    </row>
    <row r="54" spans="1:8" ht="33" customHeight="1">
      <c r="A54" s="29" t="s">
        <v>189</v>
      </c>
      <c r="B54" s="14" t="s">
        <v>148</v>
      </c>
      <c r="C54" s="14" t="s">
        <v>161</v>
      </c>
      <c r="D54" s="14" t="s">
        <v>14</v>
      </c>
      <c r="E54" s="14" t="s">
        <v>157</v>
      </c>
      <c r="F54" s="66">
        <f t="shared" si="2"/>
        <v>860.8</v>
      </c>
      <c r="G54" s="66">
        <f>G55</f>
        <v>860.8</v>
      </c>
      <c r="H54" s="66"/>
    </row>
    <row r="55" spans="1:10" ht="48" customHeight="1">
      <c r="A55" s="29" t="s">
        <v>190</v>
      </c>
      <c r="B55" s="14" t="s">
        <v>148</v>
      </c>
      <c r="C55" s="14" t="s">
        <v>161</v>
      </c>
      <c r="D55" s="14" t="s">
        <v>14</v>
      </c>
      <c r="E55" s="14" t="s">
        <v>191</v>
      </c>
      <c r="F55" s="66">
        <f t="shared" si="2"/>
        <v>860.8</v>
      </c>
      <c r="G55" s="66">
        <f>860.8</f>
        <v>860.8</v>
      </c>
      <c r="H55" s="66"/>
      <c r="J55" s="155"/>
    </row>
    <row r="56" spans="1:8" ht="17.25" customHeight="1">
      <c r="A56" s="29" t="s">
        <v>194</v>
      </c>
      <c r="B56" s="14" t="s">
        <v>148</v>
      </c>
      <c r="C56" s="14" t="s">
        <v>161</v>
      </c>
      <c r="D56" s="14" t="s">
        <v>14</v>
      </c>
      <c r="E56" s="14" t="s">
        <v>195</v>
      </c>
      <c r="F56" s="66">
        <f t="shared" si="2"/>
        <v>8</v>
      </c>
      <c r="G56" s="66">
        <f>G57</f>
        <v>8</v>
      </c>
      <c r="H56" s="66"/>
    </row>
    <row r="57" spans="1:8" ht="17.25" customHeight="1">
      <c r="A57" s="29" t="s">
        <v>192</v>
      </c>
      <c r="B57" s="14" t="s">
        <v>148</v>
      </c>
      <c r="C57" s="14" t="s">
        <v>161</v>
      </c>
      <c r="D57" s="14" t="s">
        <v>14</v>
      </c>
      <c r="E57" s="14" t="s">
        <v>193</v>
      </c>
      <c r="F57" s="66">
        <f t="shared" si="2"/>
        <v>8</v>
      </c>
      <c r="G57" s="66">
        <v>8</v>
      </c>
      <c r="H57" s="66"/>
    </row>
    <row r="58" spans="1:9" s="150" customFormat="1" ht="48" customHeight="1">
      <c r="A58" s="33" t="s">
        <v>163</v>
      </c>
      <c r="B58" s="30" t="s">
        <v>148</v>
      </c>
      <c r="C58" s="30" t="s">
        <v>161</v>
      </c>
      <c r="D58" s="30" t="s">
        <v>14</v>
      </c>
      <c r="E58" s="30" t="s">
        <v>414</v>
      </c>
      <c r="F58" s="67">
        <f t="shared" si="2"/>
        <v>95.3</v>
      </c>
      <c r="G58" s="67">
        <f>G59+G61</f>
        <v>95.3</v>
      </c>
      <c r="H58" s="67"/>
      <c r="I58" s="162"/>
    </row>
    <row r="59" spans="1:8" ht="34.5" customHeight="1">
      <c r="A59" s="29" t="s">
        <v>189</v>
      </c>
      <c r="B59" s="14" t="s">
        <v>148</v>
      </c>
      <c r="C59" s="14" t="s">
        <v>161</v>
      </c>
      <c r="D59" s="14" t="s">
        <v>14</v>
      </c>
      <c r="E59" s="14" t="s">
        <v>157</v>
      </c>
      <c r="F59" s="66">
        <f t="shared" si="2"/>
        <v>93.3</v>
      </c>
      <c r="G59" s="66">
        <f>G60</f>
        <v>93.3</v>
      </c>
      <c r="H59" s="66"/>
    </row>
    <row r="60" spans="1:8" ht="45.75" customHeight="1">
      <c r="A60" s="29" t="s">
        <v>190</v>
      </c>
      <c r="B60" s="14" t="s">
        <v>148</v>
      </c>
      <c r="C60" s="14" t="s">
        <v>161</v>
      </c>
      <c r="D60" s="14" t="s">
        <v>14</v>
      </c>
      <c r="E60" s="14" t="s">
        <v>191</v>
      </c>
      <c r="F60" s="66">
        <f t="shared" si="2"/>
        <v>93.3</v>
      </c>
      <c r="G60" s="66">
        <v>93.3</v>
      </c>
      <c r="H60" s="66"/>
    </row>
    <row r="61" spans="1:8" ht="16.5" customHeight="1">
      <c r="A61" s="29" t="s">
        <v>194</v>
      </c>
      <c r="B61" s="14" t="s">
        <v>148</v>
      </c>
      <c r="C61" s="14" t="s">
        <v>161</v>
      </c>
      <c r="D61" s="14" t="s">
        <v>14</v>
      </c>
      <c r="E61" s="14" t="s">
        <v>195</v>
      </c>
      <c r="F61" s="66">
        <f t="shared" si="2"/>
        <v>2</v>
      </c>
      <c r="G61" s="66">
        <f>G62</f>
        <v>2</v>
      </c>
      <c r="H61" s="66"/>
    </row>
    <row r="62" spans="1:8" ht="17.25" customHeight="1">
      <c r="A62" s="62" t="s">
        <v>192</v>
      </c>
      <c r="B62" s="14" t="s">
        <v>148</v>
      </c>
      <c r="C62" s="14" t="s">
        <v>161</v>
      </c>
      <c r="D62" s="14" t="s">
        <v>14</v>
      </c>
      <c r="E62" s="14" t="s">
        <v>193</v>
      </c>
      <c r="F62" s="66">
        <f t="shared" si="2"/>
        <v>2</v>
      </c>
      <c r="G62" s="66">
        <v>2</v>
      </c>
      <c r="H62" s="66"/>
    </row>
    <row r="63" spans="1:8" s="150" customFormat="1" ht="16.5" customHeight="1">
      <c r="A63" s="33" t="s">
        <v>164</v>
      </c>
      <c r="B63" s="30" t="s">
        <v>148</v>
      </c>
      <c r="C63" s="30" t="s">
        <v>161</v>
      </c>
      <c r="D63" s="30" t="s">
        <v>15</v>
      </c>
      <c r="E63" s="30" t="s">
        <v>414</v>
      </c>
      <c r="F63" s="67">
        <f t="shared" si="2"/>
        <v>1585.4</v>
      </c>
      <c r="G63" s="67">
        <f>G65</f>
        <v>1585.4</v>
      </c>
      <c r="H63" s="67">
        <f>H65</f>
        <v>0</v>
      </c>
    </row>
    <row r="64" spans="1:9" ht="94.5" customHeight="1">
      <c r="A64" s="29" t="s">
        <v>186</v>
      </c>
      <c r="B64" s="14" t="s">
        <v>148</v>
      </c>
      <c r="C64" s="14" t="s">
        <v>161</v>
      </c>
      <c r="D64" s="14" t="s">
        <v>15</v>
      </c>
      <c r="E64" s="14" t="s">
        <v>153</v>
      </c>
      <c r="F64" s="66">
        <f t="shared" si="2"/>
        <v>1585.4</v>
      </c>
      <c r="G64" s="66">
        <f>G65</f>
        <v>1585.4</v>
      </c>
      <c r="H64" s="66"/>
      <c r="I64" s="280"/>
    </row>
    <row r="65" spans="1:8" ht="34.5" customHeight="1">
      <c r="A65" s="29" t="s">
        <v>188</v>
      </c>
      <c r="B65" s="14" t="s">
        <v>148</v>
      </c>
      <c r="C65" s="14" t="s">
        <v>161</v>
      </c>
      <c r="D65" s="14" t="s">
        <v>15</v>
      </c>
      <c r="E65" s="14" t="s">
        <v>187</v>
      </c>
      <c r="F65" s="66">
        <f t="shared" si="2"/>
        <v>1585.4</v>
      </c>
      <c r="G65" s="66">
        <v>1585.4</v>
      </c>
      <c r="H65" s="66"/>
    </row>
    <row r="66" spans="1:8" ht="18.75" customHeight="1" hidden="1">
      <c r="A66" s="29" t="s">
        <v>165</v>
      </c>
      <c r="B66" s="14" t="s">
        <v>148</v>
      </c>
      <c r="C66" s="14" t="s">
        <v>166</v>
      </c>
      <c r="D66" s="14" t="s">
        <v>413</v>
      </c>
      <c r="E66" s="14" t="s">
        <v>414</v>
      </c>
      <c r="F66" s="66">
        <f>G66+H66</f>
        <v>0</v>
      </c>
      <c r="G66" s="66">
        <f>G67</f>
        <v>0</v>
      </c>
      <c r="H66" s="66">
        <f>H67</f>
        <v>0</v>
      </c>
    </row>
    <row r="67" spans="1:8" ht="33" customHeight="1" hidden="1">
      <c r="A67" s="29" t="s">
        <v>167</v>
      </c>
      <c r="B67" s="14" t="s">
        <v>148</v>
      </c>
      <c r="C67" s="14" t="s">
        <v>166</v>
      </c>
      <c r="D67" s="14" t="s">
        <v>286</v>
      </c>
      <c r="E67" s="14" t="s">
        <v>414</v>
      </c>
      <c r="F67" s="66">
        <f t="shared" si="2"/>
        <v>0</v>
      </c>
      <c r="G67" s="66">
        <f>G69</f>
        <v>0</v>
      </c>
      <c r="H67" s="66">
        <f>H69</f>
        <v>0</v>
      </c>
    </row>
    <row r="68" spans="1:8" ht="16.5" customHeight="1" hidden="1">
      <c r="A68" s="29" t="s">
        <v>194</v>
      </c>
      <c r="B68" s="14" t="s">
        <v>148</v>
      </c>
      <c r="C68" s="14" t="s">
        <v>166</v>
      </c>
      <c r="D68" s="14" t="s">
        <v>286</v>
      </c>
      <c r="E68" s="14" t="s">
        <v>195</v>
      </c>
      <c r="F68" s="66">
        <f t="shared" si="2"/>
        <v>0</v>
      </c>
      <c r="G68" s="66">
        <f>G69</f>
        <v>0</v>
      </c>
      <c r="H68" s="66"/>
    </row>
    <row r="69" spans="1:8" ht="18.75" customHeight="1" hidden="1">
      <c r="A69" s="29" t="s">
        <v>196</v>
      </c>
      <c r="B69" s="14" t="s">
        <v>148</v>
      </c>
      <c r="C69" s="14" t="s">
        <v>166</v>
      </c>
      <c r="D69" s="14" t="s">
        <v>286</v>
      </c>
      <c r="E69" s="14" t="s">
        <v>197</v>
      </c>
      <c r="F69" s="66">
        <f t="shared" si="2"/>
        <v>0</v>
      </c>
      <c r="G69" s="66">
        <v>0</v>
      </c>
      <c r="H69" s="66"/>
    </row>
    <row r="70" spans="1:8" ht="39" customHeight="1" hidden="1">
      <c r="A70" s="63" t="s">
        <v>508</v>
      </c>
      <c r="B70" s="61" t="s">
        <v>148</v>
      </c>
      <c r="C70" s="61" t="s">
        <v>396</v>
      </c>
      <c r="D70" s="61" t="s">
        <v>322</v>
      </c>
      <c r="E70" s="61" t="s">
        <v>414</v>
      </c>
      <c r="F70" s="114">
        <f t="shared" si="2"/>
        <v>0</v>
      </c>
      <c r="G70" s="114">
        <f>G71</f>
        <v>0</v>
      </c>
      <c r="H70" s="114"/>
    </row>
    <row r="71" spans="1:8" ht="39" customHeight="1" hidden="1">
      <c r="A71" s="29" t="s">
        <v>509</v>
      </c>
      <c r="B71" s="14" t="s">
        <v>148</v>
      </c>
      <c r="C71" s="14" t="s">
        <v>396</v>
      </c>
      <c r="D71" s="14" t="s">
        <v>10</v>
      </c>
      <c r="E71" s="14" t="s">
        <v>414</v>
      </c>
      <c r="F71" s="66">
        <f t="shared" si="2"/>
        <v>0</v>
      </c>
      <c r="G71" s="66">
        <f>G72</f>
        <v>0</v>
      </c>
      <c r="H71" s="66"/>
    </row>
    <row r="72" spans="1:8" ht="39" customHeight="1" hidden="1">
      <c r="A72" s="29" t="s">
        <v>152</v>
      </c>
      <c r="B72" s="14" t="s">
        <v>148</v>
      </c>
      <c r="C72" s="14" t="s">
        <v>396</v>
      </c>
      <c r="D72" s="14" t="s">
        <v>11</v>
      </c>
      <c r="E72" s="14" t="s">
        <v>414</v>
      </c>
      <c r="F72" s="66">
        <f t="shared" si="2"/>
        <v>0</v>
      </c>
      <c r="G72" s="66">
        <f>G73</f>
        <v>0</v>
      </c>
      <c r="H72" s="66"/>
    </row>
    <row r="73" spans="1:8" ht="39" customHeight="1" hidden="1">
      <c r="A73" s="29" t="s">
        <v>510</v>
      </c>
      <c r="B73" s="14" t="s">
        <v>148</v>
      </c>
      <c r="C73" s="14" t="s">
        <v>396</v>
      </c>
      <c r="D73" s="14" t="s">
        <v>511</v>
      </c>
      <c r="E73" s="14" t="s">
        <v>414</v>
      </c>
      <c r="F73" s="66">
        <f t="shared" si="2"/>
        <v>0</v>
      </c>
      <c r="G73" s="66">
        <f>G74</f>
        <v>0</v>
      </c>
      <c r="H73" s="66"/>
    </row>
    <row r="74" spans="1:8" ht="39" customHeight="1" hidden="1">
      <c r="A74" s="29" t="s">
        <v>194</v>
      </c>
      <c r="B74" s="14" t="s">
        <v>148</v>
      </c>
      <c r="C74" s="14" t="s">
        <v>396</v>
      </c>
      <c r="D74" s="14" t="s">
        <v>511</v>
      </c>
      <c r="E74" s="14" t="s">
        <v>195</v>
      </c>
      <c r="F74" s="66">
        <f t="shared" si="2"/>
        <v>0</v>
      </c>
      <c r="G74" s="66">
        <f>G75</f>
        <v>0</v>
      </c>
      <c r="H74" s="66"/>
    </row>
    <row r="75" spans="1:8" ht="17.25" customHeight="1" hidden="1">
      <c r="A75" s="222" t="s">
        <v>559</v>
      </c>
      <c r="B75" s="14" t="s">
        <v>148</v>
      </c>
      <c r="C75" s="14" t="s">
        <v>396</v>
      </c>
      <c r="D75" s="14" t="s">
        <v>511</v>
      </c>
      <c r="E75" s="14" t="s">
        <v>560</v>
      </c>
      <c r="F75" s="66">
        <f t="shared" si="2"/>
        <v>0</v>
      </c>
      <c r="G75" s="66">
        <v>0</v>
      </c>
      <c r="H75" s="66"/>
    </row>
    <row r="76" spans="1:8" ht="19.5" customHeight="1">
      <c r="A76" s="63" t="s">
        <v>165</v>
      </c>
      <c r="B76" s="61" t="s">
        <v>148</v>
      </c>
      <c r="C76" s="61" t="s">
        <v>166</v>
      </c>
      <c r="D76" s="61" t="s">
        <v>322</v>
      </c>
      <c r="E76" s="61" t="s">
        <v>414</v>
      </c>
      <c r="F76" s="114">
        <f t="shared" si="2"/>
        <v>526.6760000000002</v>
      </c>
      <c r="G76" s="114">
        <f>G77</f>
        <v>526.6760000000002</v>
      </c>
      <c r="H76" s="114"/>
    </row>
    <row r="77" spans="1:8" ht="33.75" customHeight="1">
      <c r="A77" s="223" t="s">
        <v>151</v>
      </c>
      <c r="B77" s="14" t="s">
        <v>148</v>
      </c>
      <c r="C77" s="14" t="s">
        <v>166</v>
      </c>
      <c r="D77" s="83" t="s">
        <v>10</v>
      </c>
      <c r="E77" s="83" t="s">
        <v>414</v>
      </c>
      <c r="F77" s="66">
        <f t="shared" si="2"/>
        <v>526.6760000000002</v>
      </c>
      <c r="G77" s="66">
        <f>G78</f>
        <v>526.6760000000002</v>
      </c>
      <c r="H77" s="66"/>
    </row>
    <row r="78" spans="1:8" ht="49.5" customHeight="1">
      <c r="A78" s="223" t="s">
        <v>152</v>
      </c>
      <c r="B78" s="14" t="s">
        <v>148</v>
      </c>
      <c r="C78" s="14" t="s">
        <v>166</v>
      </c>
      <c r="D78" s="83" t="s">
        <v>11</v>
      </c>
      <c r="E78" s="83" t="s">
        <v>414</v>
      </c>
      <c r="F78" s="66">
        <f t="shared" si="2"/>
        <v>526.6760000000002</v>
      </c>
      <c r="G78" s="66">
        <f>G79</f>
        <v>526.6760000000002</v>
      </c>
      <c r="H78" s="66"/>
    </row>
    <row r="79" spans="1:8" ht="33" customHeight="1">
      <c r="A79" s="223" t="s">
        <v>561</v>
      </c>
      <c r="B79" s="14" t="s">
        <v>148</v>
      </c>
      <c r="C79" s="14" t="s">
        <v>166</v>
      </c>
      <c r="D79" s="14" t="s">
        <v>562</v>
      </c>
      <c r="E79" s="83" t="s">
        <v>414</v>
      </c>
      <c r="F79" s="66">
        <f t="shared" si="2"/>
        <v>526.6760000000002</v>
      </c>
      <c r="G79" s="66">
        <f>G80</f>
        <v>526.6760000000002</v>
      </c>
      <c r="H79" s="66"/>
    </row>
    <row r="80" spans="1:8" ht="20.25" customHeight="1">
      <c r="A80" s="223" t="s">
        <v>194</v>
      </c>
      <c r="B80" s="14" t="s">
        <v>148</v>
      </c>
      <c r="C80" s="14" t="s">
        <v>166</v>
      </c>
      <c r="D80" s="14" t="s">
        <v>562</v>
      </c>
      <c r="E80" s="83" t="s">
        <v>195</v>
      </c>
      <c r="F80" s="66">
        <f t="shared" si="2"/>
        <v>526.6760000000002</v>
      </c>
      <c r="G80" s="66">
        <f>G81</f>
        <v>526.6760000000002</v>
      </c>
      <c r="H80" s="66"/>
    </row>
    <row r="81" spans="1:8" ht="18" customHeight="1">
      <c r="A81" s="223" t="s">
        <v>196</v>
      </c>
      <c r="B81" s="14" t="s">
        <v>148</v>
      </c>
      <c r="C81" s="14" t="s">
        <v>166</v>
      </c>
      <c r="D81" s="14" t="s">
        <v>562</v>
      </c>
      <c r="E81" s="83" t="s">
        <v>197</v>
      </c>
      <c r="F81" s="66">
        <f t="shared" si="2"/>
        <v>526.6760000000002</v>
      </c>
      <c r="G81" s="66">
        <f>100-11.45-24.964+600-25.292-6.497-16.526-16.045-27.55-20-5-20</f>
        <v>526.6760000000002</v>
      </c>
      <c r="H81" s="66"/>
    </row>
    <row r="82" spans="1:12" ht="18.75" customHeight="1">
      <c r="A82" s="64" t="s">
        <v>360</v>
      </c>
      <c r="B82" s="21" t="s">
        <v>148</v>
      </c>
      <c r="C82" s="21" t="s">
        <v>168</v>
      </c>
      <c r="D82" s="21" t="s">
        <v>322</v>
      </c>
      <c r="E82" s="21" t="s">
        <v>414</v>
      </c>
      <c r="F82" s="117">
        <f t="shared" si="2"/>
        <v>11976.413810000002</v>
      </c>
      <c r="G82" s="117">
        <f>G83+G120+G156+G174+G109+G177+G180+G194+G197</f>
        <v>6371.60101</v>
      </c>
      <c r="H82" s="117">
        <f>H83</f>
        <v>5604.812800000001</v>
      </c>
      <c r="J82" s="151"/>
      <c r="K82" s="155"/>
      <c r="L82" s="155"/>
    </row>
    <row r="83" spans="1:8" ht="17.25" customHeight="1">
      <c r="A83" s="29" t="s">
        <v>169</v>
      </c>
      <c r="B83" s="14" t="s">
        <v>148</v>
      </c>
      <c r="C83" s="14" t="s">
        <v>168</v>
      </c>
      <c r="D83" s="14" t="s">
        <v>322</v>
      </c>
      <c r="E83" s="14" t="s">
        <v>414</v>
      </c>
      <c r="F83" s="66">
        <f t="shared" si="2"/>
        <v>5604.812800000001</v>
      </c>
      <c r="G83" s="66">
        <f>G84+G89+G94+G99+G104</f>
        <v>0</v>
      </c>
      <c r="H83" s="66">
        <f>H84+H89+H94+H99+H104+H143+H107</f>
        <v>5604.812800000001</v>
      </c>
    </row>
    <row r="84" spans="1:10" s="150" customFormat="1" ht="64.5" customHeight="1">
      <c r="A84" s="33" t="s">
        <v>170</v>
      </c>
      <c r="B84" s="30" t="s">
        <v>148</v>
      </c>
      <c r="C84" s="30" t="s">
        <v>168</v>
      </c>
      <c r="D84" s="30" t="s">
        <v>16</v>
      </c>
      <c r="E84" s="30" t="s">
        <v>414</v>
      </c>
      <c r="F84" s="67">
        <f t="shared" si="2"/>
        <v>801.977</v>
      </c>
      <c r="G84" s="67">
        <f>SUM(G85:G88)</f>
        <v>0</v>
      </c>
      <c r="H84" s="67">
        <f>H85+H87</f>
        <v>801.977</v>
      </c>
      <c r="J84" s="156"/>
    </row>
    <row r="85" spans="1:9" ht="96" customHeight="1">
      <c r="A85" s="29" t="s">
        <v>186</v>
      </c>
      <c r="B85" s="14" t="s">
        <v>148</v>
      </c>
      <c r="C85" s="14" t="s">
        <v>168</v>
      </c>
      <c r="D85" s="14" t="s">
        <v>16</v>
      </c>
      <c r="E85" s="14" t="s">
        <v>153</v>
      </c>
      <c r="F85" s="66">
        <f t="shared" si="2"/>
        <v>550.0459999999999</v>
      </c>
      <c r="G85" s="66"/>
      <c r="H85" s="66">
        <f>H86</f>
        <v>550.0459999999999</v>
      </c>
      <c r="I85" s="155"/>
    </row>
    <row r="86" spans="1:8" ht="33" customHeight="1">
      <c r="A86" s="54" t="s">
        <v>188</v>
      </c>
      <c r="B86" s="14" t="s">
        <v>148</v>
      </c>
      <c r="C86" s="14" t="s">
        <v>168</v>
      </c>
      <c r="D86" s="14" t="s">
        <v>16</v>
      </c>
      <c r="E86" s="14" t="s">
        <v>187</v>
      </c>
      <c r="F86" s="66">
        <f t="shared" si="2"/>
        <v>550.0459999999999</v>
      </c>
      <c r="G86" s="66"/>
      <c r="H86" s="66">
        <f>542.93+7.116</f>
        <v>550.0459999999999</v>
      </c>
    </row>
    <row r="87" spans="1:8" ht="33.75" customHeight="1">
      <c r="A87" s="29" t="s">
        <v>189</v>
      </c>
      <c r="B87" s="14" t="s">
        <v>148</v>
      </c>
      <c r="C87" s="14" t="s">
        <v>168</v>
      </c>
      <c r="D87" s="14" t="s">
        <v>16</v>
      </c>
      <c r="E87" s="14" t="s">
        <v>157</v>
      </c>
      <c r="F87" s="66">
        <f t="shared" si="2"/>
        <v>251.931</v>
      </c>
      <c r="G87" s="66"/>
      <c r="H87" s="66">
        <f>H88</f>
        <v>251.931</v>
      </c>
    </row>
    <row r="88" spans="1:8" ht="48.75" customHeight="1">
      <c r="A88" s="54" t="s">
        <v>190</v>
      </c>
      <c r="B88" s="14" t="s">
        <v>148</v>
      </c>
      <c r="C88" s="14" t="s">
        <v>168</v>
      </c>
      <c r="D88" s="14" t="s">
        <v>16</v>
      </c>
      <c r="E88" s="14" t="s">
        <v>191</v>
      </c>
      <c r="F88" s="66">
        <f t="shared" si="2"/>
        <v>251.931</v>
      </c>
      <c r="G88" s="66"/>
      <c r="H88" s="66">
        <v>251.931</v>
      </c>
    </row>
    <row r="89" spans="1:10" s="163" customFormat="1" ht="48" customHeight="1">
      <c r="A89" s="33" t="s">
        <v>424</v>
      </c>
      <c r="B89" s="30" t="s">
        <v>148</v>
      </c>
      <c r="C89" s="30" t="s">
        <v>168</v>
      </c>
      <c r="D89" s="6" t="s">
        <v>875</v>
      </c>
      <c r="E89" s="30" t="s">
        <v>414</v>
      </c>
      <c r="F89" s="67">
        <f t="shared" si="2"/>
        <v>1208.7670000000003</v>
      </c>
      <c r="G89" s="67">
        <f>SUM(G90:G93)</f>
        <v>0</v>
      </c>
      <c r="H89" s="67">
        <f>H90+H92</f>
        <v>1208.7670000000003</v>
      </c>
      <c r="J89" s="164"/>
    </row>
    <row r="90" spans="1:8" s="166" customFormat="1" ht="96.75" customHeight="1">
      <c r="A90" s="29" t="s">
        <v>186</v>
      </c>
      <c r="B90" s="14" t="s">
        <v>148</v>
      </c>
      <c r="C90" s="14" t="s">
        <v>168</v>
      </c>
      <c r="D90" s="14" t="s">
        <v>875</v>
      </c>
      <c r="E90" s="14" t="s">
        <v>153</v>
      </c>
      <c r="F90" s="66">
        <f t="shared" si="2"/>
        <v>1150.8870000000002</v>
      </c>
      <c r="G90" s="117"/>
      <c r="H90" s="66">
        <f>H91</f>
        <v>1150.8870000000002</v>
      </c>
    </row>
    <row r="91" spans="1:8" ht="31.5" customHeight="1">
      <c r="A91" s="54" t="s">
        <v>188</v>
      </c>
      <c r="B91" s="14" t="s">
        <v>148</v>
      </c>
      <c r="C91" s="14" t="s">
        <v>168</v>
      </c>
      <c r="D91" s="14" t="s">
        <v>875</v>
      </c>
      <c r="E91" s="14" t="s">
        <v>187</v>
      </c>
      <c r="F91" s="66">
        <f t="shared" si="2"/>
        <v>1150.8870000000002</v>
      </c>
      <c r="G91" s="66"/>
      <c r="H91" s="66">
        <f>1139.911+10.976</f>
        <v>1150.8870000000002</v>
      </c>
    </row>
    <row r="92" spans="1:8" ht="33.75" customHeight="1">
      <c r="A92" s="29" t="s">
        <v>189</v>
      </c>
      <c r="B92" s="14" t="s">
        <v>148</v>
      </c>
      <c r="C92" s="14" t="s">
        <v>168</v>
      </c>
      <c r="D92" s="14" t="s">
        <v>875</v>
      </c>
      <c r="E92" s="14" t="s">
        <v>157</v>
      </c>
      <c r="F92" s="66">
        <f t="shared" si="2"/>
        <v>57.88</v>
      </c>
      <c r="G92" s="66"/>
      <c r="H92" s="66">
        <f>H93</f>
        <v>57.88</v>
      </c>
    </row>
    <row r="93" spans="1:8" ht="49.5" customHeight="1">
      <c r="A93" s="54" t="s">
        <v>190</v>
      </c>
      <c r="B93" s="14" t="s">
        <v>148</v>
      </c>
      <c r="C93" s="14" t="s">
        <v>168</v>
      </c>
      <c r="D93" s="14" t="s">
        <v>875</v>
      </c>
      <c r="E93" s="14" t="s">
        <v>191</v>
      </c>
      <c r="F93" s="66">
        <f t="shared" si="2"/>
        <v>57.88</v>
      </c>
      <c r="G93" s="66"/>
      <c r="H93" s="66">
        <v>57.88</v>
      </c>
    </row>
    <row r="94" spans="1:10" s="150" customFormat="1" ht="49.5" customHeight="1">
      <c r="A94" s="33" t="s">
        <v>171</v>
      </c>
      <c r="B94" s="30" t="s">
        <v>148</v>
      </c>
      <c r="C94" s="30" t="s">
        <v>168</v>
      </c>
      <c r="D94" s="30" t="s">
        <v>875</v>
      </c>
      <c r="E94" s="30" t="s">
        <v>414</v>
      </c>
      <c r="F94" s="67">
        <f t="shared" si="2"/>
        <v>773.416</v>
      </c>
      <c r="G94" s="67">
        <f>SUM(G95:G98)</f>
        <v>0</v>
      </c>
      <c r="H94" s="67">
        <f>H95+H97</f>
        <v>773.416</v>
      </c>
      <c r="J94" s="156"/>
    </row>
    <row r="95" spans="1:8" ht="97.5" customHeight="1">
      <c r="A95" s="29" t="s">
        <v>186</v>
      </c>
      <c r="B95" s="14" t="s">
        <v>148</v>
      </c>
      <c r="C95" s="14" t="s">
        <v>168</v>
      </c>
      <c r="D95" s="14" t="s">
        <v>875</v>
      </c>
      <c r="E95" s="14" t="s">
        <v>153</v>
      </c>
      <c r="F95" s="66">
        <f t="shared" si="2"/>
        <v>726.061</v>
      </c>
      <c r="G95" s="66"/>
      <c r="H95" s="66">
        <f>H96</f>
        <v>726.061</v>
      </c>
    </row>
    <row r="96" spans="1:8" ht="31.5" customHeight="1">
      <c r="A96" s="54" t="s">
        <v>188</v>
      </c>
      <c r="B96" s="14" t="s">
        <v>148</v>
      </c>
      <c r="C96" s="14" t="s">
        <v>168</v>
      </c>
      <c r="D96" s="14" t="s">
        <v>875</v>
      </c>
      <c r="E96" s="14" t="s">
        <v>187</v>
      </c>
      <c r="F96" s="66">
        <f t="shared" si="2"/>
        <v>726.061</v>
      </c>
      <c r="G96" s="66"/>
      <c r="H96" s="66">
        <f>719.07+6.991</f>
        <v>726.061</v>
      </c>
    </row>
    <row r="97" spans="1:8" ht="35.25" customHeight="1">
      <c r="A97" s="29" t="s">
        <v>189</v>
      </c>
      <c r="B97" s="14" t="s">
        <v>148</v>
      </c>
      <c r="C97" s="14" t="s">
        <v>168</v>
      </c>
      <c r="D97" s="14" t="s">
        <v>875</v>
      </c>
      <c r="E97" s="14" t="s">
        <v>157</v>
      </c>
      <c r="F97" s="66">
        <f t="shared" si="2"/>
        <v>47.355</v>
      </c>
      <c r="G97" s="66"/>
      <c r="H97" s="66">
        <f>H98</f>
        <v>47.355</v>
      </c>
    </row>
    <row r="98" spans="1:8" ht="48" customHeight="1">
      <c r="A98" s="54" t="s">
        <v>190</v>
      </c>
      <c r="B98" s="14" t="s">
        <v>148</v>
      </c>
      <c r="C98" s="14" t="s">
        <v>168</v>
      </c>
      <c r="D98" s="14" t="s">
        <v>875</v>
      </c>
      <c r="E98" s="14" t="s">
        <v>191</v>
      </c>
      <c r="F98" s="66">
        <f t="shared" si="2"/>
        <v>47.355</v>
      </c>
      <c r="G98" s="66"/>
      <c r="H98" s="66">
        <v>47.355</v>
      </c>
    </row>
    <row r="99" spans="1:10" s="150" customFormat="1" ht="108.75" customHeight="1">
      <c r="A99" s="33" t="s">
        <v>19</v>
      </c>
      <c r="B99" s="30" t="s">
        <v>148</v>
      </c>
      <c r="C99" s="30" t="s">
        <v>168</v>
      </c>
      <c r="D99" s="30" t="s">
        <v>323</v>
      </c>
      <c r="E99" s="30" t="s">
        <v>414</v>
      </c>
      <c r="F99" s="67">
        <f t="shared" si="2"/>
        <v>1395.192</v>
      </c>
      <c r="G99" s="67">
        <f>SUM(G100:G103)</f>
        <v>0</v>
      </c>
      <c r="H99" s="67">
        <f>H100+H102</f>
        <v>1395.192</v>
      </c>
      <c r="I99" s="165"/>
      <c r="J99" s="165"/>
    </row>
    <row r="100" spans="1:10" ht="96" customHeight="1">
      <c r="A100" s="29" t="s">
        <v>186</v>
      </c>
      <c r="B100" s="14" t="s">
        <v>148</v>
      </c>
      <c r="C100" s="14" t="s">
        <v>168</v>
      </c>
      <c r="D100" s="14" t="s">
        <v>323</v>
      </c>
      <c r="E100" s="14" t="s">
        <v>153</v>
      </c>
      <c r="F100" s="66">
        <f t="shared" si="2"/>
        <v>1242.908</v>
      </c>
      <c r="G100" s="66"/>
      <c r="H100" s="66">
        <f>H101</f>
        <v>1242.908</v>
      </c>
      <c r="I100" s="281"/>
      <c r="J100" s="281"/>
    </row>
    <row r="101" spans="1:10" ht="31.5" customHeight="1">
      <c r="A101" s="54" t="s">
        <v>188</v>
      </c>
      <c r="B101" s="14" t="s">
        <v>148</v>
      </c>
      <c r="C101" s="14" t="s">
        <v>168</v>
      </c>
      <c r="D101" s="14" t="s">
        <v>323</v>
      </c>
      <c r="E101" s="14" t="s">
        <v>187</v>
      </c>
      <c r="F101" s="66">
        <f t="shared" si="2"/>
        <v>1242.908</v>
      </c>
      <c r="G101" s="66"/>
      <c r="H101" s="66">
        <f>1242.908</f>
        <v>1242.908</v>
      </c>
      <c r="I101" s="281"/>
      <c r="J101" s="281"/>
    </row>
    <row r="102" spans="1:10" ht="33" customHeight="1">
      <c r="A102" s="29" t="s">
        <v>189</v>
      </c>
      <c r="B102" s="14" t="s">
        <v>148</v>
      </c>
      <c r="C102" s="14" t="s">
        <v>168</v>
      </c>
      <c r="D102" s="14" t="s">
        <v>323</v>
      </c>
      <c r="E102" s="14" t="s">
        <v>157</v>
      </c>
      <c r="F102" s="66">
        <f t="shared" si="2"/>
        <v>152.284</v>
      </c>
      <c r="G102" s="66"/>
      <c r="H102" s="66">
        <f>H103</f>
        <v>152.284</v>
      </c>
      <c r="I102" s="281"/>
      <c r="J102" s="281"/>
    </row>
    <row r="103" spans="1:10" ht="45.75" customHeight="1">
      <c r="A103" s="54" t="s">
        <v>190</v>
      </c>
      <c r="B103" s="14" t="s">
        <v>148</v>
      </c>
      <c r="C103" s="14" t="s">
        <v>168</v>
      </c>
      <c r="D103" s="14" t="s">
        <v>323</v>
      </c>
      <c r="E103" s="14" t="s">
        <v>191</v>
      </c>
      <c r="F103" s="66">
        <f t="shared" si="2"/>
        <v>152.284</v>
      </c>
      <c r="G103" s="66"/>
      <c r="H103" s="66">
        <f>118.254+34.03</f>
        <v>152.284</v>
      </c>
      <c r="I103" s="281"/>
      <c r="J103" s="281"/>
    </row>
    <row r="104" spans="1:10" ht="63" customHeight="1">
      <c r="A104" s="48" t="s">
        <v>942</v>
      </c>
      <c r="B104" s="30" t="s">
        <v>148</v>
      </c>
      <c r="C104" s="30" t="s">
        <v>168</v>
      </c>
      <c r="D104" s="30" t="s">
        <v>943</v>
      </c>
      <c r="E104" s="30" t="s">
        <v>414</v>
      </c>
      <c r="F104" s="67">
        <f>G104+H104</f>
        <v>272.232</v>
      </c>
      <c r="G104" s="67"/>
      <c r="H104" s="67">
        <f>H105</f>
        <v>272.232</v>
      </c>
      <c r="I104" s="281"/>
      <c r="J104" s="281"/>
    </row>
    <row r="105" spans="1:10" ht="45.75" customHeight="1">
      <c r="A105" s="29" t="s">
        <v>189</v>
      </c>
      <c r="B105" s="14" t="s">
        <v>148</v>
      </c>
      <c r="C105" s="14" t="s">
        <v>168</v>
      </c>
      <c r="D105" s="14" t="s">
        <v>943</v>
      </c>
      <c r="E105" s="14" t="s">
        <v>157</v>
      </c>
      <c r="F105" s="66">
        <f>G105+H105</f>
        <v>272.232</v>
      </c>
      <c r="G105" s="66"/>
      <c r="H105" s="66">
        <f>H106</f>
        <v>272.232</v>
      </c>
      <c r="I105" s="281"/>
      <c r="J105" s="281"/>
    </row>
    <row r="106" spans="1:10" ht="45.75" customHeight="1">
      <c r="A106" s="54" t="s">
        <v>190</v>
      </c>
      <c r="B106" s="14" t="s">
        <v>148</v>
      </c>
      <c r="C106" s="14" t="s">
        <v>168</v>
      </c>
      <c r="D106" s="14" t="s">
        <v>943</v>
      </c>
      <c r="E106" s="14" t="s">
        <v>191</v>
      </c>
      <c r="F106" s="66">
        <f>G106+H106</f>
        <v>272.232</v>
      </c>
      <c r="G106" s="66"/>
      <c r="H106" s="66">
        <v>272.232</v>
      </c>
      <c r="I106" s="281"/>
      <c r="J106" s="281"/>
    </row>
    <row r="107" spans="1:8" ht="35.25" customHeight="1">
      <c r="A107" s="54" t="s">
        <v>874</v>
      </c>
      <c r="B107" s="14" t="s">
        <v>148</v>
      </c>
      <c r="C107" s="14" t="s">
        <v>168</v>
      </c>
      <c r="D107" s="14" t="s">
        <v>876</v>
      </c>
      <c r="E107" s="14" t="s">
        <v>414</v>
      </c>
      <c r="F107" s="66">
        <f t="shared" si="2"/>
        <v>307.152</v>
      </c>
      <c r="G107" s="66"/>
      <c r="H107" s="66">
        <f>H108</f>
        <v>307.152</v>
      </c>
    </row>
    <row r="108" spans="1:8" ht="50.25" customHeight="1">
      <c r="A108" s="54" t="s">
        <v>190</v>
      </c>
      <c r="B108" s="14" t="s">
        <v>148</v>
      </c>
      <c r="C108" s="14" t="s">
        <v>168</v>
      </c>
      <c r="D108" s="14" t="s">
        <v>876</v>
      </c>
      <c r="E108" s="14" t="s">
        <v>191</v>
      </c>
      <c r="F108" s="66">
        <f t="shared" si="2"/>
        <v>307.152</v>
      </c>
      <c r="G108" s="66"/>
      <c r="H108" s="66">
        <v>307.152</v>
      </c>
    </row>
    <row r="109" spans="1:8" ht="18.75" customHeight="1" hidden="1">
      <c r="A109" s="65" t="s">
        <v>360</v>
      </c>
      <c r="B109" s="14" t="s">
        <v>148</v>
      </c>
      <c r="C109" s="14" t="s">
        <v>168</v>
      </c>
      <c r="D109" s="21" t="s">
        <v>322</v>
      </c>
      <c r="E109" s="21" t="s">
        <v>414</v>
      </c>
      <c r="F109" s="117">
        <f t="shared" si="2"/>
        <v>0</v>
      </c>
      <c r="G109" s="117">
        <f>G114+G111</f>
        <v>0</v>
      </c>
      <c r="H109" s="117">
        <f>H114+H111</f>
        <v>0</v>
      </c>
    </row>
    <row r="110" spans="1:8" s="150" customFormat="1" ht="81" customHeight="1" hidden="1">
      <c r="A110" s="282" t="s">
        <v>437</v>
      </c>
      <c r="B110" s="14" t="s">
        <v>148</v>
      </c>
      <c r="C110" s="14" t="s">
        <v>168</v>
      </c>
      <c r="D110" s="30" t="s">
        <v>30</v>
      </c>
      <c r="E110" s="30" t="s">
        <v>414</v>
      </c>
      <c r="F110" s="66">
        <f>G110+H110</f>
        <v>0</v>
      </c>
      <c r="G110" s="67">
        <f>G111</f>
        <v>0</v>
      </c>
      <c r="H110" s="114"/>
    </row>
    <row r="111" spans="1:8" ht="67.5" customHeight="1" hidden="1">
      <c r="A111" s="54" t="s">
        <v>429</v>
      </c>
      <c r="B111" s="14" t="s">
        <v>148</v>
      </c>
      <c r="C111" s="14" t="s">
        <v>168</v>
      </c>
      <c r="D111" s="14" t="s">
        <v>99</v>
      </c>
      <c r="E111" s="14" t="s">
        <v>213</v>
      </c>
      <c r="F111" s="66">
        <f t="shared" si="2"/>
        <v>0</v>
      </c>
      <c r="G111" s="66">
        <f>G112</f>
        <v>0</v>
      </c>
      <c r="H111" s="117"/>
    </row>
    <row r="112" spans="1:8" ht="51" customHeight="1" hidden="1">
      <c r="A112" s="54" t="s">
        <v>212</v>
      </c>
      <c r="B112" s="14" t="s">
        <v>148</v>
      </c>
      <c r="C112" s="14" t="s">
        <v>168</v>
      </c>
      <c r="D112" s="14" t="s">
        <v>99</v>
      </c>
      <c r="E112" s="14" t="s">
        <v>213</v>
      </c>
      <c r="F112" s="66">
        <f t="shared" si="2"/>
        <v>0</v>
      </c>
      <c r="G112" s="66">
        <f>G113</f>
        <v>0</v>
      </c>
      <c r="H112" s="117"/>
    </row>
    <row r="113" spans="1:8" ht="19.5" customHeight="1" hidden="1">
      <c r="A113" s="54" t="s">
        <v>428</v>
      </c>
      <c r="B113" s="14" t="s">
        <v>148</v>
      </c>
      <c r="C113" s="14" t="s">
        <v>168</v>
      </c>
      <c r="D113" s="14" t="s">
        <v>99</v>
      </c>
      <c r="E113" s="14" t="s">
        <v>126</v>
      </c>
      <c r="F113" s="66">
        <f t="shared" si="2"/>
        <v>0</v>
      </c>
      <c r="G113" s="66"/>
      <c r="H113" s="117"/>
    </row>
    <row r="114" spans="1:8" ht="81" customHeight="1" hidden="1">
      <c r="A114" s="283" t="s">
        <v>132</v>
      </c>
      <c r="B114" s="14" t="s">
        <v>148</v>
      </c>
      <c r="C114" s="14" t="s">
        <v>168</v>
      </c>
      <c r="D114" s="14" t="s">
        <v>468</v>
      </c>
      <c r="E114" s="14" t="s">
        <v>414</v>
      </c>
      <c r="F114" s="66">
        <f t="shared" si="2"/>
        <v>0</v>
      </c>
      <c r="G114" s="66">
        <f>G115</f>
        <v>0</v>
      </c>
      <c r="H114" s="66">
        <f>H115</f>
        <v>0</v>
      </c>
    </row>
    <row r="115" spans="1:8" ht="51.75" customHeight="1" hidden="1">
      <c r="A115" s="29" t="s">
        <v>212</v>
      </c>
      <c r="B115" s="14" t="s">
        <v>148</v>
      </c>
      <c r="C115" s="14" t="s">
        <v>168</v>
      </c>
      <c r="D115" s="14" t="s">
        <v>468</v>
      </c>
      <c r="E115" s="14" t="s">
        <v>213</v>
      </c>
      <c r="F115" s="66">
        <f t="shared" si="2"/>
        <v>0</v>
      </c>
      <c r="G115" s="66"/>
      <c r="H115" s="66">
        <f>H116</f>
        <v>0</v>
      </c>
    </row>
    <row r="116" spans="1:8" ht="17.25" customHeight="1" hidden="1">
      <c r="A116" s="29" t="s">
        <v>428</v>
      </c>
      <c r="B116" s="14" t="s">
        <v>148</v>
      </c>
      <c r="C116" s="14" t="s">
        <v>168</v>
      </c>
      <c r="D116" s="14" t="s">
        <v>468</v>
      </c>
      <c r="E116" s="14" t="s">
        <v>126</v>
      </c>
      <c r="F116" s="66">
        <f t="shared" si="2"/>
        <v>0</v>
      </c>
      <c r="G116" s="66">
        <v>0</v>
      </c>
      <c r="H116" s="66"/>
    </row>
    <row r="117" spans="1:8" ht="66.75" customHeight="1" hidden="1">
      <c r="A117" s="33" t="s">
        <v>798</v>
      </c>
      <c r="B117" s="30" t="s">
        <v>148</v>
      </c>
      <c r="C117" s="30" t="s">
        <v>168</v>
      </c>
      <c r="D117" s="30" t="s">
        <v>799</v>
      </c>
      <c r="E117" s="30" t="s">
        <v>414</v>
      </c>
      <c r="F117" s="67">
        <f>G117+H117</f>
        <v>0</v>
      </c>
      <c r="G117" s="67"/>
      <c r="H117" s="67">
        <f>H118</f>
        <v>0</v>
      </c>
    </row>
    <row r="118" spans="1:8" ht="78" customHeight="1" hidden="1">
      <c r="A118" s="29" t="s">
        <v>186</v>
      </c>
      <c r="B118" s="14" t="s">
        <v>148</v>
      </c>
      <c r="C118" s="14" t="s">
        <v>168</v>
      </c>
      <c r="D118" s="14" t="s">
        <v>799</v>
      </c>
      <c r="E118" s="14" t="s">
        <v>153</v>
      </c>
      <c r="F118" s="66">
        <f>G118+H118</f>
        <v>0</v>
      </c>
      <c r="G118" s="66"/>
      <c r="H118" s="66">
        <f>H119</f>
        <v>0</v>
      </c>
    </row>
    <row r="119" spans="1:8" ht="35.25" customHeight="1" hidden="1">
      <c r="A119" s="54" t="s">
        <v>188</v>
      </c>
      <c r="B119" s="14" t="s">
        <v>148</v>
      </c>
      <c r="C119" s="14" t="s">
        <v>168</v>
      </c>
      <c r="D119" s="14" t="s">
        <v>799</v>
      </c>
      <c r="E119" s="14" t="s">
        <v>187</v>
      </c>
      <c r="F119" s="66">
        <f>G119+H119</f>
        <v>0</v>
      </c>
      <c r="G119" s="66">
        <v>0</v>
      </c>
      <c r="H119" s="66">
        <v>0</v>
      </c>
    </row>
    <row r="120" spans="1:8" ht="34.5" customHeight="1">
      <c r="A120" s="29" t="s">
        <v>151</v>
      </c>
      <c r="B120" s="14" t="s">
        <v>148</v>
      </c>
      <c r="C120" s="14" t="s">
        <v>168</v>
      </c>
      <c r="D120" s="14" t="s">
        <v>10</v>
      </c>
      <c r="E120" s="14" t="s">
        <v>414</v>
      </c>
      <c r="F120" s="66">
        <f t="shared" si="2"/>
        <v>6263.60101</v>
      </c>
      <c r="G120" s="66">
        <f>G121</f>
        <v>6263.60101</v>
      </c>
      <c r="H120" s="66">
        <f>H121</f>
        <v>0</v>
      </c>
    </row>
    <row r="121" spans="1:8" ht="51" customHeight="1">
      <c r="A121" s="29" t="s">
        <v>152</v>
      </c>
      <c r="B121" s="14" t="s">
        <v>148</v>
      </c>
      <c r="C121" s="14" t="s">
        <v>168</v>
      </c>
      <c r="D121" s="14" t="s">
        <v>11</v>
      </c>
      <c r="E121" s="14" t="s">
        <v>414</v>
      </c>
      <c r="F121" s="66">
        <f t="shared" si="2"/>
        <v>6263.60101</v>
      </c>
      <c r="G121" s="66">
        <f>G122+G127+G130+G133+G138+G150+G153</f>
        <v>6263.60101</v>
      </c>
      <c r="H121" s="66">
        <f>H122</f>
        <v>0</v>
      </c>
    </row>
    <row r="122" spans="1:10" s="150" customFormat="1" ht="49.5" customHeight="1">
      <c r="A122" s="33" t="s">
        <v>563</v>
      </c>
      <c r="B122" s="30" t="s">
        <v>148</v>
      </c>
      <c r="C122" s="30" t="s">
        <v>168</v>
      </c>
      <c r="D122" s="30" t="s">
        <v>14</v>
      </c>
      <c r="E122" s="30" t="s">
        <v>414</v>
      </c>
      <c r="F122" s="67">
        <f>G122+H122</f>
        <v>4080.6200000000003</v>
      </c>
      <c r="G122" s="67">
        <f>G123+G125</f>
        <v>4080.6200000000003</v>
      </c>
      <c r="H122" s="67">
        <f>SUM(H123:H126)</f>
        <v>0</v>
      </c>
      <c r="J122" s="284"/>
    </row>
    <row r="123" spans="1:8" ht="96" customHeight="1">
      <c r="A123" s="29" t="s">
        <v>186</v>
      </c>
      <c r="B123" s="14" t="s">
        <v>148</v>
      </c>
      <c r="C123" s="14" t="s">
        <v>168</v>
      </c>
      <c r="D123" s="14" t="s">
        <v>14</v>
      </c>
      <c r="E123" s="14" t="s">
        <v>153</v>
      </c>
      <c r="F123" s="66">
        <f t="shared" si="2"/>
        <v>3994.7200000000003</v>
      </c>
      <c r="G123" s="66">
        <f>G124</f>
        <v>3994.7200000000003</v>
      </c>
      <c r="H123" s="66"/>
    </row>
    <row r="124" spans="1:8" ht="34.5" customHeight="1">
      <c r="A124" s="54" t="s">
        <v>188</v>
      </c>
      <c r="B124" s="14" t="s">
        <v>148</v>
      </c>
      <c r="C124" s="14" t="s">
        <v>168</v>
      </c>
      <c r="D124" s="14" t="s">
        <v>14</v>
      </c>
      <c r="E124" s="14" t="s">
        <v>187</v>
      </c>
      <c r="F124" s="66">
        <f t="shared" si="2"/>
        <v>3994.7200000000003</v>
      </c>
      <c r="G124" s="66">
        <f>3025.9+55+913.82</f>
        <v>3994.7200000000003</v>
      </c>
      <c r="H124" s="66"/>
    </row>
    <row r="125" spans="1:8" ht="35.25" customHeight="1">
      <c r="A125" s="29" t="s">
        <v>189</v>
      </c>
      <c r="B125" s="14" t="s">
        <v>148</v>
      </c>
      <c r="C125" s="14" t="s">
        <v>168</v>
      </c>
      <c r="D125" s="14" t="s">
        <v>14</v>
      </c>
      <c r="E125" s="14" t="s">
        <v>157</v>
      </c>
      <c r="F125" s="66">
        <f t="shared" si="2"/>
        <v>85.90000000000009</v>
      </c>
      <c r="G125" s="66">
        <f>G126</f>
        <v>85.90000000000009</v>
      </c>
      <c r="H125" s="66"/>
    </row>
    <row r="126" spans="1:8" ht="49.5" customHeight="1">
      <c r="A126" s="54" t="s">
        <v>190</v>
      </c>
      <c r="B126" s="14" t="s">
        <v>148</v>
      </c>
      <c r="C126" s="14" t="s">
        <v>168</v>
      </c>
      <c r="D126" s="14" t="s">
        <v>14</v>
      </c>
      <c r="E126" s="14" t="s">
        <v>191</v>
      </c>
      <c r="F126" s="66">
        <f>G126+H126</f>
        <v>85.90000000000009</v>
      </c>
      <c r="G126" s="66">
        <f>4080.62-3994.72</f>
        <v>85.90000000000009</v>
      </c>
      <c r="H126" s="66"/>
    </row>
    <row r="127" spans="1:8" s="150" customFormat="1" ht="15.75" customHeight="1">
      <c r="A127" s="33" t="s">
        <v>198</v>
      </c>
      <c r="B127" s="30" t="s">
        <v>148</v>
      </c>
      <c r="C127" s="30" t="s">
        <v>168</v>
      </c>
      <c r="D127" s="30" t="s">
        <v>20</v>
      </c>
      <c r="E127" s="30" t="s">
        <v>414</v>
      </c>
      <c r="F127" s="67">
        <f>G127+H127</f>
        <v>2</v>
      </c>
      <c r="G127" s="67">
        <f>G128</f>
        <v>2</v>
      </c>
      <c r="H127" s="67">
        <f>H128</f>
        <v>0</v>
      </c>
    </row>
    <row r="128" spans="1:8" ht="15.75" customHeight="1">
      <c r="A128" s="29" t="s">
        <v>194</v>
      </c>
      <c r="B128" s="14" t="s">
        <v>148</v>
      </c>
      <c r="C128" s="14" t="s">
        <v>168</v>
      </c>
      <c r="D128" s="14" t="s">
        <v>20</v>
      </c>
      <c r="E128" s="14" t="s">
        <v>195</v>
      </c>
      <c r="F128" s="66">
        <f>G128+H128</f>
        <v>2</v>
      </c>
      <c r="G128" s="66">
        <f>G129</f>
        <v>2</v>
      </c>
      <c r="H128" s="66">
        <f>H129</f>
        <v>0</v>
      </c>
    </row>
    <row r="129" spans="1:8" ht="15.75" customHeight="1">
      <c r="A129" s="29" t="s">
        <v>198</v>
      </c>
      <c r="B129" s="14" t="s">
        <v>148</v>
      </c>
      <c r="C129" s="14" t="s">
        <v>168</v>
      </c>
      <c r="D129" s="14" t="s">
        <v>20</v>
      </c>
      <c r="E129" s="14" t="s">
        <v>199</v>
      </c>
      <c r="F129" s="66">
        <f>G129+H129</f>
        <v>2</v>
      </c>
      <c r="G129" s="66">
        <v>2</v>
      </c>
      <c r="H129" s="66"/>
    </row>
    <row r="130" spans="1:8" s="150" customFormat="1" ht="69.75" customHeight="1">
      <c r="A130" s="33" t="s">
        <v>372</v>
      </c>
      <c r="B130" s="30" t="s">
        <v>148</v>
      </c>
      <c r="C130" s="30" t="s">
        <v>168</v>
      </c>
      <c r="D130" s="30" t="s">
        <v>21</v>
      </c>
      <c r="E130" s="30" t="s">
        <v>414</v>
      </c>
      <c r="F130" s="67">
        <f t="shared" si="2"/>
        <v>750</v>
      </c>
      <c r="G130" s="67">
        <f>G131</f>
        <v>750</v>
      </c>
      <c r="H130" s="67">
        <f>H132</f>
        <v>0</v>
      </c>
    </row>
    <row r="131" spans="1:8" ht="35.25" customHeight="1">
      <c r="A131" s="29" t="s">
        <v>189</v>
      </c>
      <c r="B131" s="14" t="s">
        <v>148</v>
      </c>
      <c r="C131" s="14" t="s">
        <v>168</v>
      </c>
      <c r="D131" s="14" t="s">
        <v>21</v>
      </c>
      <c r="E131" s="14" t="s">
        <v>157</v>
      </c>
      <c r="F131" s="66">
        <f t="shared" si="2"/>
        <v>750</v>
      </c>
      <c r="G131" s="66">
        <f>G132</f>
        <v>750</v>
      </c>
      <c r="H131" s="66"/>
    </row>
    <row r="132" spans="1:8" ht="49.5" customHeight="1">
      <c r="A132" s="54" t="s">
        <v>190</v>
      </c>
      <c r="B132" s="14" t="s">
        <v>148</v>
      </c>
      <c r="C132" s="14" t="s">
        <v>168</v>
      </c>
      <c r="D132" s="14" t="s">
        <v>21</v>
      </c>
      <c r="E132" s="14" t="s">
        <v>191</v>
      </c>
      <c r="F132" s="66">
        <f t="shared" si="2"/>
        <v>750</v>
      </c>
      <c r="G132" s="66">
        <f>430+320</f>
        <v>750</v>
      </c>
      <c r="H132" s="66"/>
    </row>
    <row r="133" spans="1:8" ht="16.5" customHeight="1">
      <c r="A133" s="48" t="s">
        <v>519</v>
      </c>
      <c r="B133" s="30" t="s">
        <v>148</v>
      </c>
      <c r="C133" s="30" t="s">
        <v>168</v>
      </c>
      <c r="D133" s="30" t="s">
        <v>520</v>
      </c>
      <c r="E133" s="30" t="s">
        <v>414</v>
      </c>
      <c r="F133" s="67">
        <f aca="true" t="shared" si="3" ref="F133:F142">G133</f>
        <v>1035.0870100000002</v>
      </c>
      <c r="G133" s="67">
        <f>G134+G136</f>
        <v>1035.0870100000002</v>
      </c>
      <c r="H133" s="67"/>
    </row>
    <row r="134" spans="1:8" ht="34.5" customHeight="1">
      <c r="A134" s="29" t="s">
        <v>189</v>
      </c>
      <c r="B134" s="14" t="s">
        <v>148</v>
      </c>
      <c r="C134" s="14" t="s">
        <v>168</v>
      </c>
      <c r="D134" s="14" t="s">
        <v>520</v>
      </c>
      <c r="E134" s="14" t="s">
        <v>157</v>
      </c>
      <c r="F134" s="66">
        <f t="shared" si="3"/>
        <v>1035.0870100000002</v>
      </c>
      <c r="G134" s="66">
        <f>G135</f>
        <v>1035.0870100000002</v>
      </c>
      <c r="H134" s="66"/>
    </row>
    <row r="135" spans="1:8" ht="49.5" customHeight="1">
      <c r="A135" s="54" t="s">
        <v>190</v>
      </c>
      <c r="B135" s="14" t="s">
        <v>148</v>
      </c>
      <c r="C135" s="14" t="s">
        <v>168</v>
      </c>
      <c r="D135" s="14" t="s">
        <v>520</v>
      </c>
      <c r="E135" s="14" t="s">
        <v>191</v>
      </c>
      <c r="F135" s="66">
        <f t="shared" si="3"/>
        <v>1035.0870100000002</v>
      </c>
      <c r="G135" s="66">
        <f>1402.9-504.6-2+138.78701</f>
        <v>1035.0870100000002</v>
      </c>
      <c r="H135" s="66"/>
    </row>
    <row r="136" spans="1:8" ht="21.75" customHeight="1" hidden="1">
      <c r="A136" s="29" t="s">
        <v>194</v>
      </c>
      <c r="B136" s="14" t="s">
        <v>148</v>
      </c>
      <c r="C136" s="14" t="s">
        <v>168</v>
      </c>
      <c r="D136" s="14" t="s">
        <v>520</v>
      </c>
      <c r="E136" s="14" t="s">
        <v>195</v>
      </c>
      <c r="F136" s="66">
        <f t="shared" si="3"/>
        <v>0</v>
      </c>
      <c r="G136" s="66">
        <f>G137</f>
        <v>0</v>
      </c>
      <c r="H136" s="66"/>
    </row>
    <row r="137" spans="1:8" ht="21" customHeight="1" hidden="1">
      <c r="A137" s="62" t="s">
        <v>192</v>
      </c>
      <c r="B137" s="14" t="s">
        <v>148</v>
      </c>
      <c r="C137" s="14" t="s">
        <v>168</v>
      </c>
      <c r="D137" s="14" t="s">
        <v>520</v>
      </c>
      <c r="E137" s="14" t="s">
        <v>193</v>
      </c>
      <c r="F137" s="66">
        <f t="shared" si="3"/>
        <v>0</v>
      </c>
      <c r="G137" s="66"/>
      <c r="H137" s="66"/>
    </row>
    <row r="138" spans="1:8" s="150" customFormat="1" ht="18" customHeight="1" hidden="1">
      <c r="A138" s="190" t="s">
        <v>549</v>
      </c>
      <c r="B138" s="30" t="s">
        <v>148</v>
      </c>
      <c r="C138" s="30" t="s">
        <v>168</v>
      </c>
      <c r="D138" s="30" t="s">
        <v>550</v>
      </c>
      <c r="E138" s="30" t="s">
        <v>414</v>
      </c>
      <c r="F138" s="67">
        <f t="shared" si="3"/>
        <v>0</v>
      </c>
      <c r="G138" s="67">
        <f>G140+G141</f>
        <v>0</v>
      </c>
      <c r="H138" s="67"/>
    </row>
    <row r="139" spans="1:8" s="150" customFormat="1" ht="36.75" customHeight="1" hidden="1">
      <c r="A139" s="29" t="s">
        <v>189</v>
      </c>
      <c r="B139" s="14" t="s">
        <v>148</v>
      </c>
      <c r="C139" s="14" t="s">
        <v>168</v>
      </c>
      <c r="D139" s="14" t="s">
        <v>550</v>
      </c>
      <c r="E139" s="14" t="s">
        <v>157</v>
      </c>
      <c r="F139" s="66">
        <f t="shared" si="3"/>
        <v>0</v>
      </c>
      <c r="G139" s="66">
        <f>G140</f>
        <v>0</v>
      </c>
      <c r="H139" s="67"/>
    </row>
    <row r="140" spans="1:8" ht="48.75" customHeight="1" hidden="1">
      <c r="A140" s="54" t="s">
        <v>190</v>
      </c>
      <c r="B140" s="14" t="s">
        <v>148</v>
      </c>
      <c r="C140" s="14" t="s">
        <v>168</v>
      </c>
      <c r="D140" s="14" t="s">
        <v>550</v>
      </c>
      <c r="E140" s="14" t="s">
        <v>191</v>
      </c>
      <c r="F140" s="66">
        <f t="shared" si="3"/>
        <v>0</v>
      </c>
      <c r="G140" s="66"/>
      <c r="H140" s="66"/>
    </row>
    <row r="141" spans="1:8" ht="21" customHeight="1" hidden="1">
      <c r="A141" s="29" t="s">
        <v>194</v>
      </c>
      <c r="B141" s="14" t="s">
        <v>148</v>
      </c>
      <c r="C141" s="14" t="s">
        <v>168</v>
      </c>
      <c r="D141" s="14" t="s">
        <v>550</v>
      </c>
      <c r="E141" s="14" t="s">
        <v>195</v>
      </c>
      <c r="F141" s="66">
        <f t="shared" si="3"/>
        <v>0</v>
      </c>
      <c r="G141" s="66">
        <f>G142</f>
        <v>0</v>
      </c>
      <c r="H141" s="66"/>
    </row>
    <row r="142" spans="1:8" ht="15.75" customHeight="1" hidden="1">
      <c r="A142" s="62" t="s">
        <v>192</v>
      </c>
      <c r="B142" s="14" t="s">
        <v>148</v>
      </c>
      <c r="C142" s="14" t="s">
        <v>168</v>
      </c>
      <c r="D142" s="14" t="s">
        <v>550</v>
      </c>
      <c r="E142" s="14" t="s">
        <v>193</v>
      </c>
      <c r="F142" s="66">
        <f t="shared" si="3"/>
        <v>0</v>
      </c>
      <c r="G142" s="66"/>
      <c r="H142" s="66"/>
    </row>
    <row r="143" spans="1:10" s="166" customFormat="1" ht="81" customHeight="1">
      <c r="A143" s="63" t="s">
        <v>564</v>
      </c>
      <c r="B143" s="61" t="s">
        <v>148</v>
      </c>
      <c r="C143" s="61" t="s">
        <v>168</v>
      </c>
      <c r="D143" s="61" t="s">
        <v>322</v>
      </c>
      <c r="E143" s="61" t="s">
        <v>414</v>
      </c>
      <c r="F143" s="114">
        <f>G143+H143</f>
        <v>846.0768</v>
      </c>
      <c r="G143" s="114">
        <v>0</v>
      </c>
      <c r="H143" s="114">
        <f>H144</f>
        <v>846.0768</v>
      </c>
      <c r="I143" s="186"/>
      <c r="J143" s="187"/>
    </row>
    <row r="144" spans="1:9" ht="38.25" customHeight="1">
      <c r="A144" s="29" t="s">
        <v>509</v>
      </c>
      <c r="B144" s="14" t="s">
        <v>148</v>
      </c>
      <c r="C144" s="14" t="s">
        <v>168</v>
      </c>
      <c r="D144" s="14" t="s">
        <v>10</v>
      </c>
      <c r="E144" s="14" t="s">
        <v>414</v>
      </c>
      <c r="F144" s="66">
        <f aca="true" t="shared" si="4" ref="F144:F152">G144+H144</f>
        <v>846.0768</v>
      </c>
      <c r="G144" s="66"/>
      <c r="H144" s="66">
        <f>H145</f>
        <v>846.0768</v>
      </c>
      <c r="I144" s="151"/>
    </row>
    <row r="145" spans="1:11" ht="45.75" customHeight="1">
      <c r="A145" s="29" t="s">
        <v>152</v>
      </c>
      <c r="B145" s="14" t="s">
        <v>148</v>
      </c>
      <c r="C145" s="14" t="s">
        <v>168</v>
      </c>
      <c r="D145" s="14" t="s">
        <v>11</v>
      </c>
      <c r="E145" s="14" t="s">
        <v>414</v>
      </c>
      <c r="F145" s="66">
        <f t="shared" si="4"/>
        <v>846.0768</v>
      </c>
      <c r="G145" s="66"/>
      <c r="H145" s="66">
        <f>H146+H148</f>
        <v>846.0768</v>
      </c>
      <c r="I145" s="167"/>
      <c r="J145" s="167"/>
      <c r="K145" s="158"/>
    </row>
    <row r="146" spans="1:9" ht="91.5" customHeight="1">
      <c r="A146" s="29" t="s">
        <v>186</v>
      </c>
      <c r="B146" s="14" t="s">
        <v>148</v>
      </c>
      <c r="C146" s="14" t="s">
        <v>168</v>
      </c>
      <c r="D146" s="14" t="s">
        <v>565</v>
      </c>
      <c r="E146" s="14" t="s">
        <v>153</v>
      </c>
      <c r="F146" s="66">
        <f t="shared" si="4"/>
        <v>809.18993</v>
      </c>
      <c r="G146" s="66">
        <v>0</v>
      </c>
      <c r="H146" s="66">
        <f>H147</f>
        <v>809.18993</v>
      </c>
      <c r="I146" s="151"/>
    </row>
    <row r="147" spans="1:8" ht="32.25" customHeight="1">
      <c r="A147" s="29" t="s">
        <v>188</v>
      </c>
      <c r="B147" s="14" t="s">
        <v>148</v>
      </c>
      <c r="C147" s="14" t="s">
        <v>168</v>
      </c>
      <c r="D147" s="14" t="s">
        <v>565</v>
      </c>
      <c r="E147" s="14" t="s">
        <v>187</v>
      </c>
      <c r="F147" s="66">
        <f t="shared" si="4"/>
        <v>809.18993</v>
      </c>
      <c r="G147" s="66"/>
      <c r="H147" s="66">
        <f>843.033-33.84307</f>
        <v>809.18993</v>
      </c>
    </row>
    <row r="148" spans="1:8" ht="37.5" customHeight="1">
      <c r="A148" s="29" t="s">
        <v>189</v>
      </c>
      <c r="B148" s="14" t="s">
        <v>148</v>
      </c>
      <c r="C148" s="14" t="s">
        <v>168</v>
      </c>
      <c r="D148" s="14" t="s">
        <v>565</v>
      </c>
      <c r="E148" s="14" t="s">
        <v>157</v>
      </c>
      <c r="F148" s="66">
        <f t="shared" si="4"/>
        <v>36.88687</v>
      </c>
      <c r="G148" s="66">
        <v>0</v>
      </c>
      <c r="H148" s="66">
        <f>H149</f>
        <v>36.88687</v>
      </c>
    </row>
    <row r="149" spans="1:10" ht="49.5" customHeight="1">
      <c r="A149" s="54" t="s">
        <v>190</v>
      </c>
      <c r="B149" s="14" t="s">
        <v>148</v>
      </c>
      <c r="C149" s="14" t="s">
        <v>168</v>
      </c>
      <c r="D149" s="14" t="s">
        <v>565</v>
      </c>
      <c r="E149" s="14" t="s">
        <v>191</v>
      </c>
      <c r="F149" s="66">
        <f t="shared" si="4"/>
        <v>36.88687</v>
      </c>
      <c r="G149" s="66"/>
      <c r="H149" s="66">
        <v>36.88687</v>
      </c>
      <c r="J149" s="167"/>
    </row>
    <row r="150" spans="1:10" ht="45.75" customHeight="1">
      <c r="A150" s="48" t="s">
        <v>764</v>
      </c>
      <c r="B150" s="30" t="s">
        <v>148</v>
      </c>
      <c r="C150" s="30" t="s">
        <v>168</v>
      </c>
      <c r="D150" s="30" t="s">
        <v>765</v>
      </c>
      <c r="E150" s="30" t="s">
        <v>414</v>
      </c>
      <c r="F150" s="67">
        <f t="shared" si="4"/>
        <v>173.324</v>
      </c>
      <c r="G150" s="67">
        <f>G151</f>
        <v>173.324</v>
      </c>
      <c r="H150" s="67"/>
      <c r="J150" s="167"/>
    </row>
    <row r="151" spans="1:10" ht="35.25" customHeight="1">
      <c r="A151" s="29" t="s">
        <v>189</v>
      </c>
      <c r="B151" s="14" t="s">
        <v>148</v>
      </c>
      <c r="C151" s="14" t="s">
        <v>168</v>
      </c>
      <c r="D151" s="14" t="s">
        <v>765</v>
      </c>
      <c r="E151" s="14" t="s">
        <v>157</v>
      </c>
      <c r="F151" s="66">
        <f t="shared" si="4"/>
        <v>173.324</v>
      </c>
      <c r="G151" s="66">
        <f>G152</f>
        <v>173.324</v>
      </c>
      <c r="H151" s="66"/>
      <c r="J151" s="167"/>
    </row>
    <row r="152" spans="1:10" ht="48" customHeight="1">
      <c r="A152" s="54" t="s">
        <v>190</v>
      </c>
      <c r="B152" s="14" t="s">
        <v>148</v>
      </c>
      <c r="C152" s="14" t="s">
        <v>168</v>
      </c>
      <c r="D152" s="14" t="s">
        <v>765</v>
      </c>
      <c r="E152" s="14" t="s">
        <v>191</v>
      </c>
      <c r="F152" s="66">
        <f t="shared" si="4"/>
        <v>173.324</v>
      </c>
      <c r="G152" s="66">
        <f>11.45+24.964+25.292+6.497+16.526+16.045+27.55+20+5+20</f>
        <v>173.324</v>
      </c>
      <c r="H152" s="66"/>
      <c r="J152" s="167"/>
    </row>
    <row r="153" spans="1:10" ht="34.5" customHeight="1">
      <c r="A153" s="63" t="s">
        <v>958</v>
      </c>
      <c r="B153" s="61" t="s">
        <v>148</v>
      </c>
      <c r="C153" s="61" t="s">
        <v>168</v>
      </c>
      <c r="D153" s="61" t="s">
        <v>959</v>
      </c>
      <c r="E153" s="61" t="s">
        <v>414</v>
      </c>
      <c r="F153" s="114">
        <f>G153+H153</f>
        <v>222.57000000000002</v>
      </c>
      <c r="G153" s="114">
        <f>G154</f>
        <v>222.57000000000002</v>
      </c>
      <c r="H153" s="114"/>
      <c r="J153" s="167"/>
    </row>
    <row r="154" spans="1:10" ht="36" customHeight="1">
      <c r="A154" s="29" t="s">
        <v>189</v>
      </c>
      <c r="B154" s="14" t="s">
        <v>148</v>
      </c>
      <c r="C154" s="14" t="s">
        <v>168</v>
      </c>
      <c r="D154" s="14" t="s">
        <v>959</v>
      </c>
      <c r="E154" s="14" t="s">
        <v>157</v>
      </c>
      <c r="F154" s="66">
        <f>G154+H154</f>
        <v>222.57000000000002</v>
      </c>
      <c r="G154" s="66">
        <f>G155</f>
        <v>222.57000000000002</v>
      </c>
      <c r="H154" s="66"/>
      <c r="J154" s="167"/>
    </row>
    <row r="155" spans="1:10" ht="48.75" customHeight="1">
      <c r="A155" s="54" t="s">
        <v>190</v>
      </c>
      <c r="B155" s="14" t="s">
        <v>148</v>
      </c>
      <c r="C155" s="14" t="s">
        <v>168</v>
      </c>
      <c r="D155" s="14" t="s">
        <v>959</v>
      </c>
      <c r="E155" s="14" t="s">
        <v>191</v>
      </c>
      <c r="F155" s="66">
        <f>G155+H155</f>
        <v>222.57000000000002</v>
      </c>
      <c r="G155" s="66">
        <f>9.24+213.33</f>
        <v>222.57000000000002</v>
      </c>
      <c r="H155" s="66"/>
      <c r="J155" s="167"/>
    </row>
    <row r="156" spans="1:8" s="150" customFormat="1" ht="50.25" customHeight="1">
      <c r="A156" s="33" t="s">
        <v>477</v>
      </c>
      <c r="B156" s="30" t="s">
        <v>148</v>
      </c>
      <c r="C156" s="30" t="s">
        <v>168</v>
      </c>
      <c r="D156" s="30" t="s">
        <v>31</v>
      </c>
      <c r="E156" s="30" t="s">
        <v>414</v>
      </c>
      <c r="F156" s="67">
        <f t="shared" si="2"/>
        <v>83</v>
      </c>
      <c r="G156" s="67">
        <f>G157+G160+G168+G171</f>
        <v>83</v>
      </c>
      <c r="H156" s="67">
        <f>H160+H171</f>
        <v>0</v>
      </c>
    </row>
    <row r="157" spans="1:8" s="168" customFormat="1" ht="35.25" customHeight="1" hidden="1">
      <c r="A157" s="34" t="s">
        <v>33</v>
      </c>
      <c r="B157" s="14" t="s">
        <v>148</v>
      </c>
      <c r="C157" s="14" t="s">
        <v>168</v>
      </c>
      <c r="D157" s="6" t="s">
        <v>32</v>
      </c>
      <c r="E157" s="14" t="s">
        <v>414</v>
      </c>
      <c r="F157" s="66">
        <f t="shared" si="2"/>
        <v>0</v>
      </c>
      <c r="G157" s="66">
        <f>G158</f>
        <v>0</v>
      </c>
      <c r="H157" s="118"/>
    </row>
    <row r="158" spans="1:8" ht="39" customHeight="1" hidden="1">
      <c r="A158" s="29" t="s">
        <v>189</v>
      </c>
      <c r="B158" s="14" t="s">
        <v>148</v>
      </c>
      <c r="C158" s="14" t="s">
        <v>168</v>
      </c>
      <c r="D158" s="6" t="s">
        <v>34</v>
      </c>
      <c r="E158" s="14" t="s">
        <v>157</v>
      </c>
      <c r="F158" s="66">
        <f t="shared" si="2"/>
        <v>0</v>
      </c>
      <c r="G158" s="66">
        <f>G159</f>
        <v>0</v>
      </c>
      <c r="H158" s="66"/>
    </row>
    <row r="159" spans="1:8" ht="47.25" customHeight="1" hidden="1">
      <c r="A159" s="54" t="s">
        <v>190</v>
      </c>
      <c r="B159" s="14" t="s">
        <v>148</v>
      </c>
      <c r="C159" s="14" t="s">
        <v>168</v>
      </c>
      <c r="D159" s="6" t="s">
        <v>35</v>
      </c>
      <c r="E159" s="14" t="s">
        <v>191</v>
      </c>
      <c r="F159" s="66">
        <f t="shared" si="2"/>
        <v>0</v>
      </c>
      <c r="G159" s="66"/>
      <c r="H159" s="66"/>
    </row>
    <row r="160" spans="1:8" ht="36" customHeight="1" hidden="1">
      <c r="A160" s="135" t="s">
        <v>297</v>
      </c>
      <c r="B160" s="14" t="s">
        <v>148</v>
      </c>
      <c r="C160" s="14" t="s">
        <v>168</v>
      </c>
      <c r="D160" s="6" t="s">
        <v>49</v>
      </c>
      <c r="E160" s="14" t="s">
        <v>414</v>
      </c>
      <c r="F160" s="66">
        <f>F161</f>
        <v>0</v>
      </c>
      <c r="G160" s="66">
        <f>G161</f>
        <v>0</v>
      </c>
      <c r="H160" s="66">
        <f>H161</f>
        <v>0</v>
      </c>
    </row>
    <row r="161" spans="1:8" ht="63.75" customHeight="1" hidden="1">
      <c r="A161" s="33" t="s">
        <v>690</v>
      </c>
      <c r="B161" s="30" t="s">
        <v>148</v>
      </c>
      <c r="C161" s="30" t="s">
        <v>168</v>
      </c>
      <c r="D161" s="30" t="s">
        <v>322</v>
      </c>
      <c r="E161" s="30" t="s">
        <v>414</v>
      </c>
      <c r="F161" s="67">
        <f>G161+H161</f>
        <v>0</v>
      </c>
      <c r="G161" s="67">
        <f>G165</f>
        <v>0</v>
      </c>
      <c r="H161" s="67">
        <f>H162</f>
        <v>0</v>
      </c>
    </row>
    <row r="162" spans="1:8" ht="94.5" customHeight="1" hidden="1">
      <c r="A162" s="29" t="s">
        <v>707</v>
      </c>
      <c r="B162" s="14" t="s">
        <v>148</v>
      </c>
      <c r="C162" s="14" t="s">
        <v>168</v>
      </c>
      <c r="D162" s="14" t="s">
        <v>696</v>
      </c>
      <c r="E162" s="14" t="s">
        <v>414</v>
      </c>
      <c r="F162" s="66">
        <f aca="true" t="shared" si="5" ref="F162:F167">G162+H162</f>
        <v>0</v>
      </c>
      <c r="G162" s="66"/>
      <c r="H162" s="66">
        <f>H163</f>
        <v>0</v>
      </c>
    </row>
    <row r="163" spans="1:8" ht="49.5" customHeight="1" hidden="1">
      <c r="A163" s="54" t="s">
        <v>604</v>
      </c>
      <c r="B163" s="14" t="s">
        <v>148</v>
      </c>
      <c r="C163" s="14" t="s">
        <v>168</v>
      </c>
      <c r="D163" s="14" t="s">
        <v>696</v>
      </c>
      <c r="E163" s="14" t="s">
        <v>605</v>
      </c>
      <c r="F163" s="66">
        <f t="shared" si="5"/>
        <v>0</v>
      </c>
      <c r="G163" s="66"/>
      <c r="H163" s="66">
        <f>H164</f>
        <v>0</v>
      </c>
    </row>
    <row r="164" spans="1:8" ht="16.5" customHeight="1" hidden="1">
      <c r="A164" s="54" t="s">
        <v>606</v>
      </c>
      <c r="B164" s="14" t="s">
        <v>148</v>
      </c>
      <c r="C164" s="14" t="s">
        <v>168</v>
      </c>
      <c r="D164" s="14" t="s">
        <v>696</v>
      </c>
      <c r="E164" s="14" t="s">
        <v>607</v>
      </c>
      <c r="F164" s="66">
        <f t="shared" si="5"/>
        <v>0</v>
      </c>
      <c r="G164" s="66"/>
      <c r="H164" s="66">
        <v>0</v>
      </c>
    </row>
    <row r="165" spans="1:8" ht="96" customHeight="1" hidden="1">
      <c r="A165" s="29" t="s">
        <v>708</v>
      </c>
      <c r="B165" s="14" t="s">
        <v>148</v>
      </c>
      <c r="C165" s="14" t="s">
        <v>168</v>
      </c>
      <c r="D165" s="14" t="s">
        <v>750</v>
      </c>
      <c r="E165" s="14" t="s">
        <v>414</v>
      </c>
      <c r="F165" s="66">
        <f t="shared" si="5"/>
        <v>0</v>
      </c>
      <c r="G165" s="66">
        <f>G166</f>
        <v>0</v>
      </c>
      <c r="H165" s="66"/>
    </row>
    <row r="166" spans="1:8" ht="50.25" customHeight="1" hidden="1">
      <c r="A166" s="54" t="s">
        <v>604</v>
      </c>
      <c r="B166" s="14" t="s">
        <v>148</v>
      </c>
      <c r="C166" s="14" t="s">
        <v>168</v>
      </c>
      <c r="D166" s="14" t="s">
        <v>750</v>
      </c>
      <c r="E166" s="14" t="s">
        <v>605</v>
      </c>
      <c r="F166" s="66">
        <f t="shared" si="5"/>
        <v>0</v>
      </c>
      <c r="G166" s="66">
        <f>G167</f>
        <v>0</v>
      </c>
      <c r="H166" s="66"/>
    </row>
    <row r="167" spans="1:8" ht="18" customHeight="1" hidden="1">
      <c r="A167" s="54" t="s">
        <v>606</v>
      </c>
      <c r="B167" s="14" t="s">
        <v>148</v>
      </c>
      <c r="C167" s="14" t="s">
        <v>168</v>
      </c>
      <c r="D167" s="14" t="s">
        <v>750</v>
      </c>
      <c r="E167" s="14" t="s">
        <v>607</v>
      </c>
      <c r="F167" s="66">
        <f t="shared" si="5"/>
        <v>0</v>
      </c>
      <c r="G167" s="66">
        <f>325-255-70</f>
        <v>0</v>
      </c>
      <c r="H167" s="66"/>
    </row>
    <row r="168" spans="1:8" ht="92.25" customHeight="1" hidden="1">
      <c r="A168" s="33" t="s">
        <v>706</v>
      </c>
      <c r="B168" s="30" t="s">
        <v>148</v>
      </c>
      <c r="C168" s="30" t="s">
        <v>168</v>
      </c>
      <c r="D168" s="30" t="s">
        <v>697</v>
      </c>
      <c r="E168" s="30" t="s">
        <v>414</v>
      </c>
      <c r="F168" s="67">
        <f>G168+H168</f>
        <v>0</v>
      </c>
      <c r="G168" s="67">
        <f>G169</f>
        <v>0</v>
      </c>
      <c r="H168" s="67"/>
    </row>
    <row r="169" spans="1:8" ht="36" customHeight="1" hidden="1">
      <c r="A169" s="29" t="s">
        <v>189</v>
      </c>
      <c r="B169" s="14" t="s">
        <v>148</v>
      </c>
      <c r="C169" s="14" t="s">
        <v>168</v>
      </c>
      <c r="D169" s="14" t="s">
        <v>697</v>
      </c>
      <c r="E169" s="14" t="s">
        <v>157</v>
      </c>
      <c r="F169" s="66">
        <f>G169+H169</f>
        <v>0</v>
      </c>
      <c r="G169" s="66">
        <f>G170</f>
        <v>0</v>
      </c>
      <c r="H169" s="66"/>
    </row>
    <row r="170" spans="1:8" ht="50.25" customHeight="1" hidden="1">
      <c r="A170" s="54" t="s">
        <v>190</v>
      </c>
      <c r="B170" s="14" t="s">
        <v>148</v>
      </c>
      <c r="C170" s="14" t="s">
        <v>168</v>
      </c>
      <c r="D170" s="14" t="s">
        <v>697</v>
      </c>
      <c r="E170" s="14" t="s">
        <v>191</v>
      </c>
      <c r="F170" s="66">
        <f>G170+H170</f>
        <v>0</v>
      </c>
      <c r="G170" s="66">
        <v>0</v>
      </c>
      <c r="H170" s="66"/>
    </row>
    <row r="171" spans="1:8" ht="36" customHeight="1">
      <c r="A171" s="34" t="s">
        <v>36</v>
      </c>
      <c r="B171" s="14" t="s">
        <v>148</v>
      </c>
      <c r="C171" s="14" t="s">
        <v>168</v>
      </c>
      <c r="D171" s="14" t="s">
        <v>37</v>
      </c>
      <c r="E171" s="14" t="s">
        <v>414</v>
      </c>
      <c r="F171" s="66">
        <f t="shared" si="2"/>
        <v>83</v>
      </c>
      <c r="G171" s="66">
        <f>G172</f>
        <v>83</v>
      </c>
      <c r="H171" s="66">
        <f>H173</f>
        <v>0</v>
      </c>
    </row>
    <row r="172" spans="1:8" ht="34.5" customHeight="1">
      <c r="A172" s="29" t="s">
        <v>189</v>
      </c>
      <c r="B172" s="14" t="s">
        <v>148</v>
      </c>
      <c r="C172" s="14" t="s">
        <v>168</v>
      </c>
      <c r="D172" s="14" t="s">
        <v>699</v>
      </c>
      <c r="E172" s="14" t="s">
        <v>157</v>
      </c>
      <c r="F172" s="66">
        <f t="shared" si="2"/>
        <v>83</v>
      </c>
      <c r="G172" s="66">
        <f>G173</f>
        <v>83</v>
      </c>
      <c r="H172" s="66"/>
    </row>
    <row r="173" spans="1:8" ht="48" customHeight="1">
      <c r="A173" s="54" t="s">
        <v>190</v>
      </c>
      <c r="B173" s="14" t="s">
        <v>148</v>
      </c>
      <c r="C173" s="14" t="s">
        <v>168</v>
      </c>
      <c r="D173" s="14" t="s">
        <v>699</v>
      </c>
      <c r="E173" s="14" t="s">
        <v>191</v>
      </c>
      <c r="F173" s="66">
        <f t="shared" si="2"/>
        <v>83</v>
      </c>
      <c r="G173" s="66">
        <v>83</v>
      </c>
      <c r="H173" s="66"/>
    </row>
    <row r="174" spans="1:8" s="150" customFormat="1" ht="63" customHeight="1">
      <c r="A174" s="33" t="s">
        <v>492</v>
      </c>
      <c r="B174" s="30" t="s">
        <v>148</v>
      </c>
      <c r="C174" s="30" t="s">
        <v>168</v>
      </c>
      <c r="D174" s="30" t="s">
        <v>38</v>
      </c>
      <c r="E174" s="30" t="s">
        <v>414</v>
      </c>
      <c r="F174" s="67">
        <f aca="true" t="shared" si="6" ref="F174:F351">G174+H174</f>
        <v>10</v>
      </c>
      <c r="G174" s="67">
        <f>G175</f>
        <v>10</v>
      </c>
      <c r="H174" s="67">
        <f>H176</f>
        <v>0</v>
      </c>
    </row>
    <row r="175" spans="1:8" ht="35.25" customHeight="1">
      <c r="A175" s="29" t="s">
        <v>189</v>
      </c>
      <c r="B175" s="14" t="s">
        <v>148</v>
      </c>
      <c r="C175" s="14" t="s">
        <v>168</v>
      </c>
      <c r="D175" s="14" t="s">
        <v>39</v>
      </c>
      <c r="E175" s="14" t="s">
        <v>157</v>
      </c>
      <c r="F175" s="66">
        <f t="shared" si="6"/>
        <v>10</v>
      </c>
      <c r="G175" s="66">
        <f>G176</f>
        <v>10</v>
      </c>
      <c r="H175" s="66"/>
    </row>
    <row r="176" spans="1:8" ht="50.25" customHeight="1">
      <c r="A176" s="54" t="s">
        <v>190</v>
      </c>
      <c r="B176" s="14" t="s">
        <v>148</v>
      </c>
      <c r="C176" s="14" t="s">
        <v>168</v>
      </c>
      <c r="D176" s="14" t="s">
        <v>40</v>
      </c>
      <c r="E176" s="14" t="s">
        <v>191</v>
      </c>
      <c r="F176" s="66">
        <f t="shared" si="6"/>
        <v>10</v>
      </c>
      <c r="G176" s="66">
        <v>10</v>
      </c>
      <c r="H176" s="66"/>
    </row>
    <row r="177" spans="1:8" s="150" customFormat="1" ht="48.75" customHeight="1" hidden="1">
      <c r="A177" s="48" t="s">
        <v>440</v>
      </c>
      <c r="B177" s="30" t="s">
        <v>148</v>
      </c>
      <c r="C177" s="30" t="s">
        <v>168</v>
      </c>
      <c r="D177" s="30" t="s">
        <v>41</v>
      </c>
      <c r="E177" s="30" t="s">
        <v>414</v>
      </c>
      <c r="F177" s="67">
        <f>G177+H177</f>
        <v>0</v>
      </c>
      <c r="G177" s="67">
        <f>G178</f>
        <v>0</v>
      </c>
      <c r="H177" s="67">
        <f>H178</f>
        <v>0</v>
      </c>
    </row>
    <row r="178" spans="1:8" ht="34.5" customHeight="1" hidden="1">
      <c r="A178" s="54" t="s">
        <v>189</v>
      </c>
      <c r="B178" s="14" t="s">
        <v>148</v>
      </c>
      <c r="C178" s="14" t="s">
        <v>168</v>
      </c>
      <c r="D178" s="14" t="s">
        <v>503</v>
      </c>
      <c r="E178" s="14" t="s">
        <v>157</v>
      </c>
      <c r="F178" s="66">
        <f>G178+H178</f>
        <v>0</v>
      </c>
      <c r="G178" s="66">
        <f>G179</f>
        <v>0</v>
      </c>
      <c r="H178" s="66">
        <f>H179</f>
        <v>0</v>
      </c>
    </row>
    <row r="179" spans="1:8" ht="49.5" customHeight="1" hidden="1">
      <c r="A179" s="54" t="s">
        <v>190</v>
      </c>
      <c r="B179" s="14" t="s">
        <v>148</v>
      </c>
      <c r="C179" s="14" t="s">
        <v>168</v>
      </c>
      <c r="D179" s="14" t="s">
        <v>503</v>
      </c>
      <c r="E179" s="14" t="s">
        <v>191</v>
      </c>
      <c r="F179" s="66">
        <f>G179+H179</f>
        <v>0</v>
      </c>
      <c r="G179" s="66"/>
      <c r="H179" s="66"/>
    </row>
    <row r="180" spans="1:8" ht="65.25" customHeight="1">
      <c r="A180" s="48" t="s">
        <v>860</v>
      </c>
      <c r="B180" s="30" t="s">
        <v>148</v>
      </c>
      <c r="C180" s="30" t="s">
        <v>168</v>
      </c>
      <c r="D180" s="30" t="s">
        <v>566</v>
      </c>
      <c r="E180" s="30" t="s">
        <v>414</v>
      </c>
      <c r="F180" s="67">
        <f t="shared" si="6"/>
        <v>15</v>
      </c>
      <c r="G180" s="67">
        <f>G181</f>
        <v>15</v>
      </c>
      <c r="H180" s="114"/>
    </row>
    <row r="181" spans="1:8" ht="49.5" customHeight="1">
      <c r="A181" s="54" t="s">
        <v>567</v>
      </c>
      <c r="B181" s="14" t="s">
        <v>148</v>
      </c>
      <c r="C181" s="14" t="s">
        <v>168</v>
      </c>
      <c r="D181" s="14" t="s">
        <v>568</v>
      </c>
      <c r="E181" s="14" t="s">
        <v>157</v>
      </c>
      <c r="F181" s="66">
        <f t="shared" si="6"/>
        <v>15</v>
      </c>
      <c r="G181" s="66">
        <f>G182</f>
        <v>15</v>
      </c>
      <c r="H181" s="66"/>
    </row>
    <row r="182" spans="1:8" ht="18.75" customHeight="1">
      <c r="A182" s="54" t="s">
        <v>569</v>
      </c>
      <c r="B182" s="14" t="s">
        <v>148</v>
      </c>
      <c r="C182" s="14" t="s">
        <v>168</v>
      </c>
      <c r="D182" s="14" t="s">
        <v>570</v>
      </c>
      <c r="E182" s="14" t="s">
        <v>191</v>
      </c>
      <c r="F182" s="66">
        <f t="shared" si="6"/>
        <v>15</v>
      </c>
      <c r="G182" s="66">
        <v>15</v>
      </c>
      <c r="H182" s="66"/>
    </row>
    <row r="183" spans="1:8" s="166" customFormat="1" ht="20.25" customHeight="1" hidden="1">
      <c r="A183" s="64" t="s">
        <v>376</v>
      </c>
      <c r="B183" s="21" t="s">
        <v>150</v>
      </c>
      <c r="C183" s="21" t="s">
        <v>149</v>
      </c>
      <c r="D183" s="21" t="s">
        <v>322</v>
      </c>
      <c r="E183" s="21" t="s">
        <v>414</v>
      </c>
      <c r="F183" s="117">
        <f>G183+H183</f>
        <v>0</v>
      </c>
      <c r="G183" s="117">
        <f>G184</f>
        <v>0</v>
      </c>
      <c r="H183" s="117">
        <f>H184</f>
        <v>0</v>
      </c>
    </row>
    <row r="184" spans="1:8" ht="17.25" customHeight="1" hidden="1">
      <c r="A184" s="29" t="s">
        <v>368</v>
      </c>
      <c r="B184" s="14" t="s">
        <v>150</v>
      </c>
      <c r="C184" s="14" t="s">
        <v>149</v>
      </c>
      <c r="D184" s="14" t="s">
        <v>322</v>
      </c>
      <c r="E184" s="14" t="s">
        <v>414</v>
      </c>
      <c r="F184" s="66">
        <f t="shared" si="6"/>
        <v>0</v>
      </c>
      <c r="G184" s="66">
        <f>G186</f>
        <v>0</v>
      </c>
      <c r="H184" s="66">
        <f>H185</f>
        <v>0</v>
      </c>
    </row>
    <row r="185" spans="1:8" ht="79.5" customHeight="1" hidden="1">
      <c r="A185" s="33" t="s">
        <v>552</v>
      </c>
      <c r="B185" s="14" t="s">
        <v>150</v>
      </c>
      <c r="C185" s="14" t="s">
        <v>149</v>
      </c>
      <c r="D185" s="30" t="s">
        <v>534</v>
      </c>
      <c r="E185" s="30" t="s">
        <v>414</v>
      </c>
      <c r="F185" s="67">
        <f t="shared" si="6"/>
        <v>0</v>
      </c>
      <c r="G185" s="67">
        <f>G187</f>
        <v>0</v>
      </c>
      <c r="H185" s="67">
        <f>H186</f>
        <v>0</v>
      </c>
    </row>
    <row r="186" spans="1:8" ht="48.75" customHeight="1" hidden="1">
      <c r="A186" s="29" t="s">
        <v>377</v>
      </c>
      <c r="B186" s="14" t="s">
        <v>150</v>
      </c>
      <c r="C186" s="14" t="s">
        <v>149</v>
      </c>
      <c r="D186" s="14" t="s">
        <v>530</v>
      </c>
      <c r="E186" s="14" t="s">
        <v>414</v>
      </c>
      <c r="F186" s="66">
        <f t="shared" si="6"/>
        <v>0</v>
      </c>
      <c r="G186" s="66">
        <f>G188</f>
        <v>0</v>
      </c>
      <c r="H186" s="66">
        <f>H187</f>
        <v>0</v>
      </c>
    </row>
    <row r="187" spans="1:8" ht="21" customHeight="1" hidden="1">
      <c r="A187" s="29" t="s">
        <v>200</v>
      </c>
      <c r="B187" s="14" t="s">
        <v>150</v>
      </c>
      <c r="C187" s="14" t="s">
        <v>149</v>
      </c>
      <c r="D187" s="14" t="s">
        <v>530</v>
      </c>
      <c r="E187" s="14" t="s">
        <v>201</v>
      </c>
      <c r="F187" s="66">
        <f t="shared" si="6"/>
        <v>0</v>
      </c>
      <c r="G187" s="66">
        <f>G188</f>
        <v>0</v>
      </c>
      <c r="H187" s="66">
        <f>H188</f>
        <v>0</v>
      </c>
    </row>
    <row r="188" spans="1:8" ht="17.25" customHeight="1" hidden="1">
      <c r="A188" s="29" t="s">
        <v>169</v>
      </c>
      <c r="B188" s="14" t="s">
        <v>150</v>
      </c>
      <c r="C188" s="14" t="s">
        <v>149</v>
      </c>
      <c r="D188" s="14" t="s">
        <v>530</v>
      </c>
      <c r="E188" s="14" t="s">
        <v>378</v>
      </c>
      <c r="F188" s="66">
        <f t="shared" si="6"/>
        <v>0</v>
      </c>
      <c r="G188" s="66">
        <v>0</v>
      </c>
      <c r="H188" s="66">
        <v>0</v>
      </c>
    </row>
    <row r="189" spans="1:8" s="166" customFormat="1" ht="48" customHeight="1">
      <c r="A189" s="64" t="s">
        <v>379</v>
      </c>
      <c r="B189" s="21" t="s">
        <v>155</v>
      </c>
      <c r="C189" s="21" t="s">
        <v>149</v>
      </c>
      <c r="D189" s="21" t="s">
        <v>322</v>
      </c>
      <c r="E189" s="21" t="s">
        <v>414</v>
      </c>
      <c r="F189" s="117">
        <f>G189+H189</f>
        <v>100</v>
      </c>
      <c r="G189" s="117">
        <f>G190</f>
        <v>100</v>
      </c>
      <c r="H189" s="117">
        <f>H190</f>
        <v>0</v>
      </c>
    </row>
    <row r="190" spans="1:8" ht="50.25" customHeight="1">
      <c r="A190" s="29" t="s">
        <v>380</v>
      </c>
      <c r="B190" s="14" t="s">
        <v>155</v>
      </c>
      <c r="C190" s="14" t="s">
        <v>381</v>
      </c>
      <c r="D190" s="14" t="s">
        <v>22</v>
      </c>
      <c r="E190" s="14" t="s">
        <v>414</v>
      </c>
      <c r="F190" s="66">
        <f t="shared" si="6"/>
        <v>100</v>
      </c>
      <c r="G190" s="66">
        <f>G191</f>
        <v>100</v>
      </c>
      <c r="H190" s="66">
        <f>H191</f>
        <v>0</v>
      </c>
    </row>
    <row r="191" spans="1:8" ht="50.25" customHeight="1">
      <c r="A191" s="29" t="s">
        <v>382</v>
      </c>
      <c r="B191" s="14" t="s">
        <v>155</v>
      </c>
      <c r="C191" s="14" t="s">
        <v>381</v>
      </c>
      <c r="D191" s="14" t="s">
        <v>22</v>
      </c>
      <c r="E191" s="14" t="s">
        <v>414</v>
      </c>
      <c r="F191" s="66">
        <f t="shared" si="6"/>
        <v>100</v>
      </c>
      <c r="G191" s="66">
        <f>G193</f>
        <v>100</v>
      </c>
      <c r="H191" s="66">
        <f>H193</f>
        <v>0</v>
      </c>
    </row>
    <row r="192" spans="1:8" ht="33.75" customHeight="1">
      <c r="A192" s="29" t="s">
        <v>189</v>
      </c>
      <c r="B192" s="14" t="s">
        <v>155</v>
      </c>
      <c r="C192" s="14" t="s">
        <v>381</v>
      </c>
      <c r="D192" s="14" t="s">
        <v>22</v>
      </c>
      <c r="E192" s="14" t="s">
        <v>157</v>
      </c>
      <c r="F192" s="66">
        <f t="shared" si="6"/>
        <v>100</v>
      </c>
      <c r="G192" s="66">
        <f>G193</f>
        <v>100</v>
      </c>
      <c r="H192" s="66"/>
    </row>
    <row r="193" spans="1:8" ht="50.25" customHeight="1">
      <c r="A193" s="54" t="s">
        <v>190</v>
      </c>
      <c r="B193" s="14" t="s">
        <v>155</v>
      </c>
      <c r="C193" s="14" t="s">
        <v>381</v>
      </c>
      <c r="D193" s="14" t="s">
        <v>22</v>
      </c>
      <c r="E193" s="14" t="s">
        <v>191</v>
      </c>
      <c r="F193" s="66">
        <f t="shared" si="6"/>
        <v>100</v>
      </c>
      <c r="G193" s="66">
        <v>100</v>
      </c>
      <c r="H193" s="66"/>
    </row>
    <row r="194" spans="1:8" ht="62.25" customHeight="1" hidden="1">
      <c r="A194" s="48" t="s">
        <v>782</v>
      </c>
      <c r="B194" s="30" t="s">
        <v>148</v>
      </c>
      <c r="C194" s="30" t="s">
        <v>168</v>
      </c>
      <c r="D194" s="30" t="s">
        <v>762</v>
      </c>
      <c r="E194" s="30" t="s">
        <v>414</v>
      </c>
      <c r="F194" s="67">
        <f>G194+H194</f>
        <v>0</v>
      </c>
      <c r="G194" s="67"/>
      <c r="H194" s="67">
        <f>H195</f>
        <v>0</v>
      </c>
    </row>
    <row r="195" spans="1:8" ht="97.5" customHeight="1" hidden="1">
      <c r="A195" s="29" t="s">
        <v>186</v>
      </c>
      <c r="B195" s="14" t="s">
        <v>148</v>
      </c>
      <c r="C195" s="14" t="s">
        <v>168</v>
      </c>
      <c r="D195" s="14" t="s">
        <v>762</v>
      </c>
      <c r="E195" s="14" t="s">
        <v>153</v>
      </c>
      <c r="F195" s="66">
        <f>G195+H195</f>
        <v>0</v>
      </c>
      <c r="G195" s="66"/>
      <c r="H195" s="66">
        <f>H196</f>
        <v>0</v>
      </c>
    </row>
    <row r="196" spans="1:8" ht="37.5" customHeight="1" hidden="1">
      <c r="A196" s="54" t="s">
        <v>188</v>
      </c>
      <c r="B196" s="14" t="s">
        <v>148</v>
      </c>
      <c r="C196" s="14" t="s">
        <v>168</v>
      </c>
      <c r="D196" s="14" t="s">
        <v>762</v>
      </c>
      <c r="E196" s="14" t="s">
        <v>187</v>
      </c>
      <c r="F196" s="66">
        <f>G196+H196</f>
        <v>0</v>
      </c>
      <c r="G196" s="66"/>
      <c r="H196" s="66">
        <v>0</v>
      </c>
    </row>
    <row r="197" spans="1:8" ht="79.5" customHeight="1" hidden="1">
      <c r="A197" s="48" t="s">
        <v>779</v>
      </c>
      <c r="B197" s="14" t="s">
        <v>148</v>
      </c>
      <c r="C197" s="14" t="s">
        <v>168</v>
      </c>
      <c r="D197" s="14" t="s">
        <v>763</v>
      </c>
      <c r="E197" s="14" t="s">
        <v>414</v>
      </c>
      <c r="F197" s="66">
        <f>G197</f>
        <v>0</v>
      </c>
      <c r="G197" s="66">
        <f>G198+G200</f>
        <v>0</v>
      </c>
      <c r="H197" s="66"/>
    </row>
    <row r="198" spans="1:8" ht="94.5" customHeight="1" hidden="1">
      <c r="A198" s="29" t="s">
        <v>186</v>
      </c>
      <c r="B198" s="14" t="s">
        <v>148</v>
      </c>
      <c r="C198" s="14" t="s">
        <v>168</v>
      </c>
      <c r="D198" s="14" t="s">
        <v>763</v>
      </c>
      <c r="E198" s="14" t="s">
        <v>153</v>
      </c>
      <c r="F198" s="66">
        <f>G198</f>
        <v>0</v>
      </c>
      <c r="G198" s="66">
        <f>G199</f>
        <v>0</v>
      </c>
      <c r="H198" s="66"/>
    </row>
    <row r="199" spans="1:8" ht="33" customHeight="1" hidden="1">
      <c r="A199" s="54" t="s">
        <v>188</v>
      </c>
      <c r="B199" s="14" t="s">
        <v>148</v>
      </c>
      <c r="C199" s="14" t="s">
        <v>168</v>
      </c>
      <c r="D199" s="14" t="s">
        <v>763</v>
      </c>
      <c r="E199" s="14" t="s">
        <v>187</v>
      </c>
      <c r="F199" s="66">
        <f>G199</f>
        <v>0</v>
      </c>
      <c r="G199" s="66">
        <v>0</v>
      </c>
      <c r="H199" s="66"/>
    </row>
    <row r="200" spans="1:8" ht="37.5" customHeight="1" hidden="1">
      <c r="A200" s="29" t="s">
        <v>189</v>
      </c>
      <c r="B200" s="14" t="s">
        <v>148</v>
      </c>
      <c r="C200" s="14" t="s">
        <v>168</v>
      </c>
      <c r="D200" s="14" t="s">
        <v>763</v>
      </c>
      <c r="E200" s="14" t="s">
        <v>157</v>
      </c>
      <c r="F200" s="66">
        <f>G200</f>
        <v>0</v>
      </c>
      <c r="G200" s="66">
        <f>G201</f>
        <v>0</v>
      </c>
      <c r="H200" s="66"/>
    </row>
    <row r="201" spans="1:8" ht="48" customHeight="1" hidden="1">
      <c r="A201" s="54" t="s">
        <v>190</v>
      </c>
      <c r="B201" s="14" t="s">
        <v>148</v>
      </c>
      <c r="C201" s="14" t="s">
        <v>168</v>
      </c>
      <c r="D201" s="14" t="s">
        <v>763</v>
      </c>
      <c r="E201" s="14" t="s">
        <v>191</v>
      </c>
      <c r="F201" s="66">
        <f>G201</f>
        <v>0</v>
      </c>
      <c r="G201" s="66">
        <v>0</v>
      </c>
      <c r="H201" s="66"/>
    </row>
    <row r="202" spans="1:8" ht="96" customHeight="1" hidden="1">
      <c r="A202" s="48" t="s">
        <v>780</v>
      </c>
      <c r="B202" s="14" t="s">
        <v>148</v>
      </c>
      <c r="C202" s="14" t="s">
        <v>168</v>
      </c>
      <c r="D202" s="30" t="s">
        <v>781</v>
      </c>
      <c r="E202" s="30" t="s">
        <v>414</v>
      </c>
      <c r="F202" s="67">
        <f aca="true" t="shared" si="7" ref="F202:F209">G202+H202</f>
        <v>0</v>
      </c>
      <c r="G202" s="67"/>
      <c r="H202" s="67">
        <f>H203</f>
        <v>0</v>
      </c>
    </row>
    <row r="203" spans="1:8" ht="31.5" customHeight="1" hidden="1">
      <c r="A203" s="29" t="s">
        <v>189</v>
      </c>
      <c r="B203" s="14" t="s">
        <v>148</v>
      </c>
      <c r="C203" s="14" t="s">
        <v>168</v>
      </c>
      <c r="D203" s="14" t="s">
        <v>781</v>
      </c>
      <c r="E203" s="14" t="s">
        <v>157</v>
      </c>
      <c r="F203" s="66">
        <f t="shared" si="7"/>
        <v>0</v>
      </c>
      <c r="G203" s="66"/>
      <c r="H203" s="66">
        <f>H204</f>
        <v>0</v>
      </c>
    </row>
    <row r="204" spans="1:8" ht="48" customHeight="1" hidden="1">
      <c r="A204" s="54" t="s">
        <v>190</v>
      </c>
      <c r="B204" s="14" t="s">
        <v>148</v>
      </c>
      <c r="C204" s="14" t="s">
        <v>168</v>
      </c>
      <c r="D204" s="14" t="s">
        <v>781</v>
      </c>
      <c r="E204" s="14" t="s">
        <v>191</v>
      </c>
      <c r="F204" s="66">
        <f t="shared" si="7"/>
        <v>0</v>
      </c>
      <c r="G204" s="66"/>
      <c r="H204" s="66">
        <v>0</v>
      </c>
    </row>
    <row r="205" spans="1:8" s="166" customFormat="1" ht="48" customHeight="1" hidden="1">
      <c r="A205" s="64" t="s">
        <v>379</v>
      </c>
      <c r="B205" s="21" t="s">
        <v>155</v>
      </c>
      <c r="C205" s="21" t="s">
        <v>149</v>
      </c>
      <c r="D205" s="21" t="s">
        <v>322</v>
      </c>
      <c r="E205" s="21" t="s">
        <v>414</v>
      </c>
      <c r="F205" s="117">
        <f t="shared" si="7"/>
        <v>0</v>
      </c>
      <c r="G205" s="117">
        <f>G206</f>
        <v>0</v>
      </c>
      <c r="H205" s="117">
        <f>H206</f>
        <v>0</v>
      </c>
    </row>
    <row r="206" spans="1:8" ht="50.25" customHeight="1" hidden="1">
      <c r="A206" s="29" t="s">
        <v>380</v>
      </c>
      <c r="B206" s="14" t="s">
        <v>155</v>
      </c>
      <c r="C206" s="14" t="s">
        <v>381</v>
      </c>
      <c r="D206" s="14" t="s">
        <v>322</v>
      </c>
      <c r="E206" s="14" t="s">
        <v>414</v>
      </c>
      <c r="F206" s="66">
        <f t="shared" si="7"/>
        <v>0</v>
      </c>
      <c r="G206" s="66">
        <f>G207</f>
        <v>0</v>
      </c>
      <c r="H206" s="66">
        <f>H207</f>
        <v>0</v>
      </c>
    </row>
    <row r="207" spans="1:8" ht="83.25" customHeight="1" hidden="1">
      <c r="A207" s="29" t="s">
        <v>796</v>
      </c>
      <c r="B207" s="14" t="s">
        <v>155</v>
      </c>
      <c r="C207" s="14" t="s">
        <v>381</v>
      </c>
      <c r="D207" s="14" t="s">
        <v>797</v>
      </c>
      <c r="E207" s="14" t="s">
        <v>414</v>
      </c>
      <c r="F207" s="66">
        <f t="shared" si="7"/>
        <v>0</v>
      </c>
      <c r="G207" s="66">
        <f>G209</f>
        <v>0</v>
      </c>
      <c r="H207" s="66">
        <f>H209</f>
        <v>0</v>
      </c>
    </row>
    <row r="208" spans="1:8" ht="33.75" customHeight="1" hidden="1">
      <c r="A208" s="29" t="s">
        <v>189</v>
      </c>
      <c r="B208" s="14" t="s">
        <v>155</v>
      </c>
      <c r="C208" s="14" t="s">
        <v>381</v>
      </c>
      <c r="D208" s="14" t="s">
        <v>797</v>
      </c>
      <c r="E208" s="14" t="s">
        <v>157</v>
      </c>
      <c r="F208" s="66">
        <f t="shared" si="7"/>
        <v>0</v>
      </c>
      <c r="G208" s="66">
        <f>G209</f>
        <v>0</v>
      </c>
      <c r="H208" s="66"/>
    </row>
    <row r="209" spans="1:8" ht="50.25" customHeight="1" hidden="1">
      <c r="A209" s="54" t="s">
        <v>190</v>
      </c>
      <c r="B209" s="14" t="s">
        <v>155</v>
      </c>
      <c r="C209" s="14" t="s">
        <v>381</v>
      </c>
      <c r="D209" s="14" t="s">
        <v>797</v>
      </c>
      <c r="E209" s="14" t="s">
        <v>191</v>
      </c>
      <c r="F209" s="66">
        <f t="shared" si="7"/>
        <v>0</v>
      </c>
      <c r="G209" s="66">
        <v>0</v>
      </c>
      <c r="H209" s="66"/>
    </row>
    <row r="210" spans="1:10" s="166" customFormat="1" ht="16.5" customHeight="1">
      <c r="A210" s="64" t="s">
        <v>383</v>
      </c>
      <c r="B210" s="21" t="s">
        <v>159</v>
      </c>
      <c r="C210" s="21" t="s">
        <v>149</v>
      </c>
      <c r="D210" s="21" t="s">
        <v>322</v>
      </c>
      <c r="E210" s="21" t="s">
        <v>414</v>
      </c>
      <c r="F210" s="117">
        <f t="shared" si="6"/>
        <v>29636.240299999998</v>
      </c>
      <c r="G210" s="117">
        <f>G215+G228+G211+G249</f>
        <v>26366.94229</v>
      </c>
      <c r="H210" s="117">
        <f>H215+H228+H211+H254</f>
        <v>3269.29801</v>
      </c>
      <c r="J210" s="187"/>
    </row>
    <row r="211" spans="1:8" s="150" customFormat="1" ht="16.5" customHeight="1">
      <c r="A211" s="33" t="s">
        <v>243</v>
      </c>
      <c r="B211" s="30" t="s">
        <v>159</v>
      </c>
      <c r="C211" s="30" t="s">
        <v>393</v>
      </c>
      <c r="D211" s="30" t="s">
        <v>322</v>
      </c>
      <c r="E211" s="30" t="s">
        <v>414</v>
      </c>
      <c r="F211" s="67">
        <f t="shared" si="6"/>
        <v>265.91093</v>
      </c>
      <c r="G211" s="67">
        <f>G212</f>
        <v>0</v>
      </c>
      <c r="H211" s="67">
        <f>H212</f>
        <v>265.91093</v>
      </c>
    </row>
    <row r="212" spans="1:8" ht="107.25" customHeight="1">
      <c r="A212" s="33" t="s">
        <v>726</v>
      </c>
      <c r="B212" s="30" t="s">
        <v>159</v>
      </c>
      <c r="C212" s="30" t="s">
        <v>393</v>
      </c>
      <c r="D212" s="30" t="s">
        <v>42</v>
      </c>
      <c r="E212" s="30" t="s">
        <v>414</v>
      </c>
      <c r="F212" s="67">
        <f t="shared" si="6"/>
        <v>265.91093</v>
      </c>
      <c r="G212" s="67"/>
      <c r="H212" s="67">
        <f>H213</f>
        <v>265.91093</v>
      </c>
    </row>
    <row r="213" spans="1:8" ht="35.25" customHeight="1">
      <c r="A213" s="29" t="s">
        <v>189</v>
      </c>
      <c r="B213" s="14" t="s">
        <v>159</v>
      </c>
      <c r="C213" s="14" t="s">
        <v>393</v>
      </c>
      <c r="D213" s="14" t="s">
        <v>42</v>
      </c>
      <c r="E213" s="14" t="s">
        <v>157</v>
      </c>
      <c r="F213" s="66">
        <f t="shared" si="6"/>
        <v>265.91093</v>
      </c>
      <c r="G213" s="66"/>
      <c r="H213" s="66">
        <f>H214</f>
        <v>265.91093</v>
      </c>
    </row>
    <row r="214" spans="1:8" ht="48" customHeight="1">
      <c r="A214" s="54" t="s">
        <v>190</v>
      </c>
      <c r="B214" s="14" t="s">
        <v>159</v>
      </c>
      <c r="C214" s="14" t="s">
        <v>393</v>
      </c>
      <c r="D214" s="14" t="s">
        <v>42</v>
      </c>
      <c r="E214" s="14" t="s">
        <v>191</v>
      </c>
      <c r="F214" s="66">
        <f t="shared" si="6"/>
        <v>265.91093</v>
      </c>
      <c r="G214" s="66"/>
      <c r="H214" s="66">
        <v>265.91093</v>
      </c>
    </row>
    <row r="215" spans="1:8" s="150" customFormat="1" ht="17.25" customHeight="1">
      <c r="A215" s="33" t="s">
        <v>421</v>
      </c>
      <c r="B215" s="30" t="s">
        <v>159</v>
      </c>
      <c r="C215" s="30" t="s">
        <v>384</v>
      </c>
      <c r="D215" s="30" t="s">
        <v>322</v>
      </c>
      <c r="E215" s="30" t="s">
        <v>414</v>
      </c>
      <c r="F215" s="67">
        <f t="shared" si="6"/>
        <v>2303.38708</v>
      </c>
      <c r="G215" s="67">
        <f>G216</f>
        <v>2300</v>
      </c>
      <c r="H215" s="67">
        <f>H217+H225</f>
        <v>3.38708</v>
      </c>
    </row>
    <row r="216" spans="1:8" s="150" customFormat="1" ht="96" customHeight="1">
      <c r="A216" s="33" t="s">
        <v>495</v>
      </c>
      <c r="B216" s="30" t="s">
        <v>159</v>
      </c>
      <c r="C216" s="30" t="s">
        <v>384</v>
      </c>
      <c r="D216" s="30" t="s">
        <v>475</v>
      </c>
      <c r="E216" s="30" t="s">
        <v>414</v>
      </c>
      <c r="F216" s="67">
        <f t="shared" si="6"/>
        <v>2300</v>
      </c>
      <c r="G216" s="67">
        <f>G217+G221</f>
        <v>2300</v>
      </c>
      <c r="H216" s="67"/>
    </row>
    <row r="217" spans="1:8" ht="18.75" customHeight="1">
      <c r="A217" s="29" t="s">
        <v>422</v>
      </c>
      <c r="B217" s="14" t="s">
        <v>159</v>
      </c>
      <c r="C217" s="14" t="s">
        <v>384</v>
      </c>
      <c r="D217" s="14" t="s">
        <v>496</v>
      </c>
      <c r="E217" s="14" t="s">
        <v>414</v>
      </c>
      <c r="F217" s="66">
        <f t="shared" si="6"/>
        <v>2300</v>
      </c>
      <c r="G217" s="66">
        <f>G218+G223</f>
        <v>2300</v>
      </c>
      <c r="H217" s="66">
        <f>H218</f>
        <v>0</v>
      </c>
    </row>
    <row r="218" spans="1:8" ht="68.25" customHeight="1">
      <c r="A218" s="29" t="s">
        <v>43</v>
      </c>
      <c r="B218" s="14" t="s">
        <v>159</v>
      </c>
      <c r="C218" s="14" t="s">
        <v>384</v>
      </c>
      <c r="D218" s="14" t="s">
        <v>496</v>
      </c>
      <c r="E218" s="14" t="s">
        <v>414</v>
      </c>
      <c r="F218" s="66">
        <f t="shared" si="6"/>
        <v>2296.175</v>
      </c>
      <c r="G218" s="66">
        <f>G219</f>
        <v>2296.175</v>
      </c>
      <c r="H218" s="66">
        <f>H220</f>
        <v>0</v>
      </c>
    </row>
    <row r="219" spans="1:8" ht="18.75" customHeight="1">
      <c r="A219" s="29" t="s">
        <v>194</v>
      </c>
      <c r="B219" s="14" t="s">
        <v>159</v>
      </c>
      <c r="C219" s="14" t="s">
        <v>384</v>
      </c>
      <c r="D219" s="14" t="s">
        <v>496</v>
      </c>
      <c r="E219" s="14" t="s">
        <v>195</v>
      </c>
      <c r="F219" s="66">
        <f t="shared" si="6"/>
        <v>2296.175</v>
      </c>
      <c r="G219" s="66">
        <f>G220</f>
        <v>2296.175</v>
      </c>
      <c r="H219" s="66"/>
    </row>
    <row r="220" spans="1:8" ht="49.5" customHeight="1">
      <c r="A220" s="29" t="s">
        <v>721</v>
      </c>
      <c r="B220" s="14" t="s">
        <v>159</v>
      </c>
      <c r="C220" s="14" t="s">
        <v>384</v>
      </c>
      <c r="D220" s="14" t="s">
        <v>496</v>
      </c>
      <c r="E220" s="14" t="s">
        <v>391</v>
      </c>
      <c r="F220" s="66">
        <f t="shared" si="6"/>
        <v>2296.175</v>
      </c>
      <c r="G220" s="66">
        <f>2300-3.825</f>
        <v>2296.175</v>
      </c>
      <c r="H220" s="66"/>
    </row>
    <row r="221" spans="1:8" ht="19.5" customHeight="1" hidden="1">
      <c r="A221" s="54" t="s">
        <v>200</v>
      </c>
      <c r="B221" s="14" t="s">
        <v>159</v>
      </c>
      <c r="C221" s="14" t="s">
        <v>384</v>
      </c>
      <c r="D221" s="14" t="s">
        <v>496</v>
      </c>
      <c r="E221" s="14" t="s">
        <v>201</v>
      </c>
      <c r="F221" s="66">
        <f t="shared" si="6"/>
        <v>0</v>
      </c>
      <c r="G221" s="66">
        <f>G222</f>
        <v>0</v>
      </c>
      <c r="H221" s="66"/>
    </row>
    <row r="222" spans="1:8" ht="18" customHeight="1" hidden="1">
      <c r="A222" s="54" t="s">
        <v>304</v>
      </c>
      <c r="B222" s="14" t="s">
        <v>159</v>
      </c>
      <c r="C222" s="14" t="s">
        <v>384</v>
      </c>
      <c r="D222" s="14" t="s">
        <v>496</v>
      </c>
      <c r="E222" s="14" t="s">
        <v>460</v>
      </c>
      <c r="F222" s="66">
        <f t="shared" si="6"/>
        <v>0</v>
      </c>
      <c r="G222" s="66">
        <v>0</v>
      </c>
      <c r="H222" s="66"/>
    </row>
    <row r="223" spans="1:8" ht="30.75" customHeight="1">
      <c r="A223" s="29" t="s">
        <v>189</v>
      </c>
      <c r="B223" s="14" t="s">
        <v>159</v>
      </c>
      <c r="C223" s="14" t="s">
        <v>384</v>
      </c>
      <c r="D223" s="14" t="s">
        <v>496</v>
      </c>
      <c r="E223" s="14" t="s">
        <v>157</v>
      </c>
      <c r="F223" s="66">
        <f>G223</f>
        <v>3.825</v>
      </c>
      <c r="G223" s="66">
        <f>G224</f>
        <v>3.825</v>
      </c>
      <c r="H223" s="66"/>
    </row>
    <row r="224" spans="1:8" ht="50.25" customHeight="1">
      <c r="A224" s="54" t="s">
        <v>190</v>
      </c>
      <c r="B224" s="14" t="s">
        <v>159</v>
      </c>
      <c r="C224" s="14" t="s">
        <v>384</v>
      </c>
      <c r="D224" s="14" t="s">
        <v>496</v>
      </c>
      <c r="E224" s="14" t="s">
        <v>191</v>
      </c>
      <c r="F224" s="66">
        <f>G224</f>
        <v>3.825</v>
      </c>
      <c r="G224" s="66">
        <v>3.825</v>
      </c>
      <c r="H224" s="66"/>
    </row>
    <row r="225" spans="1:8" ht="144" customHeight="1">
      <c r="A225" s="48" t="s">
        <v>571</v>
      </c>
      <c r="B225" s="30" t="s">
        <v>159</v>
      </c>
      <c r="C225" s="30" t="s">
        <v>384</v>
      </c>
      <c r="D225" s="30" t="s">
        <v>322</v>
      </c>
      <c r="E225" s="30" t="s">
        <v>414</v>
      </c>
      <c r="F225" s="67">
        <f>G225+H225</f>
        <v>3.38708</v>
      </c>
      <c r="G225" s="67"/>
      <c r="H225" s="67">
        <f>H226</f>
        <v>3.38708</v>
      </c>
    </row>
    <row r="226" spans="1:8" ht="36.75" customHeight="1">
      <c r="A226" s="29" t="s">
        <v>189</v>
      </c>
      <c r="B226" s="14" t="s">
        <v>159</v>
      </c>
      <c r="C226" s="14" t="s">
        <v>384</v>
      </c>
      <c r="D226" s="14" t="s">
        <v>572</v>
      </c>
      <c r="E226" s="14" t="s">
        <v>157</v>
      </c>
      <c r="F226" s="66">
        <f>G226+H226</f>
        <v>3.38708</v>
      </c>
      <c r="G226" s="66"/>
      <c r="H226" s="66">
        <f>H227</f>
        <v>3.38708</v>
      </c>
    </row>
    <row r="227" spans="1:8" ht="33.75" customHeight="1">
      <c r="A227" s="54" t="s">
        <v>190</v>
      </c>
      <c r="B227" s="14" t="s">
        <v>159</v>
      </c>
      <c r="C227" s="14" t="s">
        <v>384</v>
      </c>
      <c r="D227" s="14" t="s">
        <v>572</v>
      </c>
      <c r="E227" s="14" t="s">
        <v>191</v>
      </c>
      <c r="F227" s="66">
        <f>G227+H227</f>
        <v>3.38708</v>
      </c>
      <c r="G227" s="66"/>
      <c r="H227" s="66">
        <v>3.38708</v>
      </c>
    </row>
    <row r="228" spans="1:8" s="150" customFormat="1" ht="17.25" customHeight="1">
      <c r="A228" s="33" t="s">
        <v>385</v>
      </c>
      <c r="B228" s="30" t="s">
        <v>159</v>
      </c>
      <c r="C228" s="30" t="s">
        <v>381</v>
      </c>
      <c r="D228" s="30" t="s">
        <v>322</v>
      </c>
      <c r="E228" s="30" t="s">
        <v>414</v>
      </c>
      <c r="F228" s="67">
        <f t="shared" si="6"/>
        <v>27066.94229</v>
      </c>
      <c r="G228" s="67">
        <f>G229+G242</f>
        <v>24066.94229</v>
      </c>
      <c r="H228" s="67">
        <f>H229</f>
        <v>3000</v>
      </c>
    </row>
    <row r="229" spans="1:9" s="150" customFormat="1" ht="94.5" customHeight="1">
      <c r="A229" s="33" t="s">
        <v>495</v>
      </c>
      <c r="B229" s="30" t="s">
        <v>159</v>
      </c>
      <c r="C229" s="30" t="s">
        <v>381</v>
      </c>
      <c r="D229" s="30" t="s">
        <v>475</v>
      </c>
      <c r="E229" s="30" t="s">
        <v>414</v>
      </c>
      <c r="F229" s="67">
        <f t="shared" si="6"/>
        <v>26946.48429</v>
      </c>
      <c r="G229" s="67">
        <f>G230+G233+G237</f>
        <v>23946.48429</v>
      </c>
      <c r="H229" s="67">
        <f>H230+H237</f>
        <v>3000</v>
      </c>
      <c r="I229" s="156"/>
    </row>
    <row r="230" spans="1:9" ht="33.75" customHeight="1">
      <c r="A230" s="29" t="s">
        <v>386</v>
      </c>
      <c r="B230" s="14" t="s">
        <v>159</v>
      </c>
      <c r="C230" s="14" t="s">
        <v>381</v>
      </c>
      <c r="D230" s="14" t="s">
        <v>498</v>
      </c>
      <c r="E230" s="14" t="s">
        <v>414</v>
      </c>
      <c r="F230" s="66">
        <f aca="true" t="shared" si="8" ref="F230:F248">G230</f>
        <v>14490.181260000001</v>
      </c>
      <c r="G230" s="66">
        <f>G231</f>
        <v>14490.181260000001</v>
      </c>
      <c r="H230" s="66">
        <f>H232</f>
        <v>0</v>
      </c>
      <c r="I230" s="151"/>
    </row>
    <row r="231" spans="1:8" ht="35.25" customHeight="1">
      <c r="A231" s="29" t="s">
        <v>189</v>
      </c>
      <c r="B231" s="14" t="s">
        <v>159</v>
      </c>
      <c r="C231" s="14" t="s">
        <v>381</v>
      </c>
      <c r="D231" s="14" t="s">
        <v>498</v>
      </c>
      <c r="E231" s="14" t="s">
        <v>157</v>
      </c>
      <c r="F231" s="66">
        <f t="shared" si="8"/>
        <v>14490.181260000001</v>
      </c>
      <c r="G231" s="66">
        <f>G232</f>
        <v>14490.181260000001</v>
      </c>
      <c r="H231" s="66"/>
    </row>
    <row r="232" spans="1:8" ht="47.25" customHeight="1">
      <c r="A232" s="54" t="s">
        <v>190</v>
      </c>
      <c r="B232" s="14" t="s">
        <v>159</v>
      </c>
      <c r="C232" s="14" t="s">
        <v>381</v>
      </c>
      <c r="D232" s="14" t="s">
        <v>498</v>
      </c>
      <c r="E232" s="14" t="s">
        <v>191</v>
      </c>
      <c r="F232" s="66">
        <f t="shared" si="8"/>
        <v>14490.181260000001</v>
      </c>
      <c r="G232" s="66">
        <f>5217-30.30303+9986.48429+161.18502-282-562.18502</f>
        <v>14490.181260000001</v>
      </c>
      <c r="H232" s="66"/>
    </row>
    <row r="233" spans="1:8" ht="22.5" customHeight="1">
      <c r="A233" s="54" t="s">
        <v>200</v>
      </c>
      <c r="B233" s="14" t="s">
        <v>159</v>
      </c>
      <c r="C233" s="14" t="s">
        <v>381</v>
      </c>
      <c r="D233" s="14" t="s">
        <v>497</v>
      </c>
      <c r="E233" s="14" t="s">
        <v>201</v>
      </c>
      <c r="F233" s="66">
        <f t="shared" si="8"/>
        <v>9426</v>
      </c>
      <c r="G233" s="66">
        <f>G234+G235+G236</f>
        <v>9426</v>
      </c>
      <c r="H233" s="66"/>
    </row>
    <row r="234" spans="1:8" ht="15.75" customHeight="1">
      <c r="A234" s="54" t="s">
        <v>304</v>
      </c>
      <c r="B234" s="14" t="s">
        <v>159</v>
      </c>
      <c r="C234" s="14" t="s">
        <v>381</v>
      </c>
      <c r="D234" s="14" t="s">
        <v>497</v>
      </c>
      <c r="E234" s="14" t="s">
        <v>460</v>
      </c>
      <c r="F234" s="66">
        <f t="shared" si="8"/>
        <v>9426</v>
      </c>
      <c r="G234" s="66">
        <f>9542-161.18502-517+562.18502</f>
        <v>9426</v>
      </c>
      <c r="H234" s="152"/>
    </row>
    <row r="235" spans="1:8" ht="93" hidden="1">
      <c r="A235" s="54" t="s">
        <v>517</v>
      </c>
      <c r="B235" s="14" t="s">
        <v>159</v>
      </c>
      <c r="C235" s="14" t="s">
        <v>381</v>
      </c>
      <c r="D235" s="14" t="s">
        <v>518</v>
      </c>
      <c r="E235" s="14" t="s">
        <v>460</v>
      </c>
      <c r="F235" s="66">
        <f>G235</f>
        <v>0</v>
      </c>
      <c r="G235" s="66"/>
      <c r="H235" s="152"/>
    </row>
    <row r="236" spans="1:8" ht="108.75" hidden="1">
      <c r="A236" s="54" t="s">
        <v>521</v>
      </c>
      <c r="B236" s="14" t="s">
        <v>159</v>
      </c>
      <c r="C236" s="14" t="s">
        <v>381</v>
      </c>
      <c r="D236" s="14" t="s">
        <v>522</v>
      </c>
      <c r="E236" s="14" t="s">
        <v>460</v>
      </c>
      <c r="F236" s="66">
        <f>G236</f>
        <v>0</v>
      </c>
      <c r="G236" s="66"/>
      <c r="H236" s="152"/>
    </row>
    <row r="237" spans="1:8" ht="35.25" customHeight="1">
      <c r="A237" s="48" t="s">
        <v>734</v>
      </c>
      <c r="B237" s="30" t="s">
        <v>159</v>
      </c>
      <c r="C237" s="30" t="s">
        <v>381</v>
      </c>
      <c r="D237" s="30" t="s">
        <v>475</v>
      </c>
      <c r="E237" s="30" t="s">
        <v>414</v>
      </c>
      <c r="F237" s="67">
        <f>G237+H237</f>
        <v>3030.30303</v>
      </c>
      <c r="G237" s="67">
        <f>G239+G241</f>
        <v>30.30303</v>
      </c>
      <c r="H237" s="67">
        <f>H239+H241</f>
        <v>3000</v>
      </c>
    </row>
    <row r="238" spans="1:8" ht="35.25" customHeight="1">
      <c r="A238" s="29" t="s">
        <v>189</v>
      </c>
      <c r="B238" s="14" t="s">
        <v>159</v>
      </c>
      <c r="C238" s="14" t="s">
        <v>381</v>
      </c>
      <c r="D238" s="14" t="s">
        <v>728</v>
      </c>
      <c r="E238" s="14" t="s">
        <v>157</v>
      </c>
      <c r="F238" s="66">
        <f>G238+H238</f>
        <v>3000</v>
      </c>
      <c r="G238" s="66"/>
      <c r="H238" s="66">
        <f>H239</f>
        <v>3000</v>
      </c>
    </row>
    <row r="239" spans="1:8" ht="46.5">
      <c r="A239" s="54" t="s">
        <v>190</v>
      </c>
      <c r="B239" s="14" t="s">
        <v>159</v>
      </c>
      <c r="C239" s="14" t="s">
        <v>381</v>
      </c>
      <c r="D239" s="14" t="s">
        <v>728</v>
      </c>
      <c r="E239" s="14" t="s">
        <v>191</v>
      </c>
      <c r="F239" s="66">
        <f>G239+H239</f>
        <v>3000</v>
      </c>
      <c r="G239" s="66"/>
      <c r="H239" s="66">
        <v>3000</v>
      </c>
    </row>
    <row r="240" spans="1:8" ht="30.75">
      <c r="A240" s="29" t="s">
        <v>189</v>
      </c>
      <c r="B240" s="14" t="s">
        <v>159</v>
      </c>
      <c r="C240" s="14" t="s">
        <v>381</v>
      </c>
      <c r="D240" s="14" t="s">
        <v>753</v>
      </c>
      <c r="E240" s="14" t="s">
        <v>157</v>
      </c>
      <c r="F240" s="66">
        <f>G240</f>
        <v>30.30303</v>
      </c>
      <c r="G240" s="66">
        <f>G241</f>
        <v>30.30303</v>
      </c>
      <c r="H240" s="66"/>
    </row>
    <row r="241" spans="1:8" ht="46.5">
      <c r="A241" s="54" t="s">
        <v>190</v>
      </c>
      <c r="B241" s="14" t="s">
        <v>159</v>
      </c>
      <c r="C241" s="14" t="s">
        <v>381</v>
      </c>
      <c r="D241" s="14" t="s">
        <v>753</v>
      </c>
      <c r="E241" s="14" t="s">
        <v>191</v>
      </c>
      <c r="F241" s="66">
        <f>G241</f>
        <v>30.30303</v>
      </c>
      <c r="G241" s="66">
        <v>30.30303</v>
      </c>
      <c r="H241" s="152"/>
    </row>
    <row r="242" spans="1:8" ht="30.75">
      <c r="A242" s="48" t="s">
        <v>151</v>
      </c>
      <c r="B242" s="30" t="s">
        <v>159</v>
      </c>
      <c r="C242" s="30" t="s">
        <v>381</v>
      </c>
      <c r="D242" s="30" t="s">
        <v>10</v>
      </c>
      <c r="E242" s="30" t="s">
        <v>414</v>
      </c>
      <c r="F242" s="67">
        <f t="shared" si="8"/>
        <v>120.458</v>
      </c>
      <c r="G242" s="67">
        <f>G243</f>
        <v>120.458</v>
      </c>
      <c r="H242" s="153"/>
    </row>
    <row r="243" spans="1:8" ht="34.5" customHeight="1">
      <c r="A243" s="54" t="s">
        <v>152</v>
      </c>
      <c r="B243" s="14" t="s">
        <v>159</v>
      </c>
      <c r="C243" s="14" t="s">
        <v>381</v>
      </c>
      <c r="D243" s="14" t="s">
        <v>11</v>
      </c>
      <c r="E243" s="14" t="s">
        <v>414</v>
      </c>
      <c r="F243" s="66">
        <f t="shared" si="8"/>
        <v>120.458</v>
      </c>
      <c r="G243" s="66">
        <f>G244</f>
        <v>120.458</v>
      </c>
      <c r="H243" s="152"/>
    </row>
    <row r="244" spans="1:8" ht="20.25" customHeight="1">
      <c r="A244" s="29" t="s">
        <v>573</v>
      </c>
      <c r="B244" s="14" t="s">
        <v>159</v>
      </c>
      <c r="C244" s="14" t="s">
        <v>381</v>
      </c>
      <c r="D244" s="6" t="s">
        <v>574</v>
      </c>
      <c r="E244" s="14" t="s">
        <v>414</v>
      </c>
      <c r="F244" s="66">
        <f t="shared" si="8"/>
        <v>120.458</v>
      </c>
      <c r="G244" s="66">
        <f>G245+G247</f>
        <v>120.458</v>
      </c>
      <c r="H244" s="152"/>
    </row>
    <row r="245" spans="1:9" ht="24" customHeight="1" hidden="1">
      <c r="A245" s="29" t="s">
        <v>189</v>
      </c>
      <c r="B245" s="14" t="s">
        <v>159</v>
      </c>
      <c r="C245" s="14" t="s">
        <v>381</v>
      </c>
      <c r="D245" s="6" t="s">
        <v>574</v>
      </c>
      <c r="E245" s="14" t="s">
        <v>157</v>
      </c>
      <c r="F245" s="66">
        <f t="shared" si="8"/>
        <v>0</v>
      </c>
      <c r="G245" s="66">
        <f>G246</f>
        <v>0</v>
      </c>
      <c r="H245" s="152"/>
      <c r="I245" s="155"/>
    </row>
    <row r="246" spans="1:9" ht="29.25" customHeight="1" hidden="1">
      <c r="A246" s="54" t="s">
        <v>190</v>
      </c>
      <c r="B246" s="14" t="s">
        <v>159</v>
      </c>
      <c r="C246" s="14" t="s">
        <v>381</v>
      </c>
      <c r="D246" s="6" t="s">
        <v>574</v>
      </c>
      <c r="E246" s="14" t="s">
        <v>191</v>
      </c>
      <c r="F246" s="66">
        <f t="shared" si="8"/>
        <v>0</v>
      </c>
      <c r="G246" s="66">
        <v>0</v>
      </c>
      <c r="H246" s="152"/>
      <c r="I246" s="155"/>
    </row>
    <row r="247" spans="1:9" ht="22.5" customHeight="1">
      <c r="A247" s="29" t="s">
        <v>194</v>
      </c>
      <c r="B247" s="14" t="s">
        <v>159</v>
      </c>
      <c r="C247" s="14" t="s">
        <v>381</v>
      </c>
      <c r="D247" s="6" t="s">
        <v>574</v>
      </c>
      <c r="E247" s="14" t="s">
        <v>195</v>
      </c>
      <c r="F247" s="66">
        <f t="shared" si="8"/>
        <v>120.458</v>
      </c>
      <c r="G247" s="66">
        <f>G248</f>
        <v>120.458</v>
      </c>
      <c r="H247" s="152"/>
      <c r="I247" s="155"/>
    </row>
    <row r="248" spans="1:9" ht="19.5" customHeight="1">
      <c r="A248" s="62" t="s">
        <v>192</v>
      </c>
      <c r="B248" s="14" t="s">
        <v>159</v>
      </c>
      <c r="C248" s="14" t="s">
        <v>381</v>
      </c>
      <c r="D248" s="6" t="s">
        <v>574</v>
      </c>
      <c r="E248" s="14" t="s">
        <v>193</v>
      </c>
      <c r="F248" s="66">
        <f t="shared" si="8"/>
        <v>120.458</v>
      </c>
      <c r="G248" s="66">
        <f>80.3+40.158</f>
        <v>120.458</v>
      </c>
      <c r="H248" s="152"/>
      <c r="I248" s="155"/>
    </row>
    <row r="249" spans="1:8" ht="30.75" hidden="1">
      <c r="A249" s="48" t="s">
        <v>364</v>
      </c>
      <c r="B249" s="30" t="s">
        <v>159</v>
      </c>
      <c r="C249" s="30" t="s">
        <v>387</v>
      </c>
      <c r="D249" s="30" t="s">
        <v>322</v>
      </c>
      <c r="E249" s="30" t="s">
        <v>414</v>
      </c>
      <c r="F249" s="67">
        <f>G249+H249</f>
        <v>0</v>
      </c>
      <c r="G249" s="67">
        <f>G250</f>
        <v>0</v>
      </c>
      <c r="H249" s="139">
        <f>H250</f>
        <v>0</v>
      </c>
    </row>
    <row r="250" spans="1:8" ht="48.75" customHeight="1" hidden="1">
      <c r="A250" s="33" t="s">
        <v>472</v>
      </c>
      <c r="B250" s="30" t="s">
        <v>159</v>
      </c>
      <c r="C250" s="30" t="s">
        <v>387</v>
      </c>
      <c r="D250" s="30" t="s">
        <v>473</v>
      </c>
      <c r="E250" s="30" t="s">
        <v>414</v>
      </c>
      <c r="F250" s="67">
        <f t="shared" si="6"/>
        <v>0</v>
      </c>
      <c r="G250" s="67">
        <f>G251</f>
        <v>0</v>
      </c>
      <c r="H250" s="67">
        <f>H251</f>
        <v>0</v>
      </c>
    </row>
    <row r="251" spans="1:8" ht="113.25" customHeight="1" hidden="1">
      <c r="A251" s="29" t="s">
        <v>389</v>
      </c>
      <c r="B251" s="14" t="s">
        <v>159</v>
      </c>
      <c r="C251" s="14" t="s">
        <v>387</v>
      </c>
      <c r="D251" s="14" t="s">
        <v>474</v>
      </c>
      <c r="E251" s="14" t="s">
        <v>414</v>
      </c>
      <c r="F251" s="66">
        <f t="shared" si="6"/>
        <v>0</v>
      </c>
      <c r="G251" s="66">
        <f>G252</f>
        <v>0</v>
      </c>
      <c r="H251" s="66">
        <f>H253</f>
        <v>0</v>
      </c>
    </row>
    <row r="252" spans="1:8" ht="18.75" customHeight="1" hidden="1">
      <c r="A252" s="29" t="s">
        <v>194</v>
      </c>
      <c r="B252" s="14" t="s">
        <v>159</v>
      </c>
      <c r="C252" s="14" t="s">
        <v>387</v>
      </c>
      <c r="D252" s="14" t="s">
        <v>474</v>
      </c>
      <c r="E252" s="14" t="s">
        <v>195</v>
      </c>
      <c r="F252" s="66">
        <f t="shared" si="6"/>
        <v>0</v>
      </c>
      <c r="G252" s="66">
        <f>G253</f>
        <v>0</v>
      </c>
      <c r="H252" s="66"/>
    </row>
    <row r="253" spans="1:8" ht="62.25" customHeight="1" hidden="1">
      <c r="A253" s="29" t="s">
        <v>390</v>
      </c>
      <c r="B253" s="14" t="s">
        <v>159</v>
      </c>
      <c r="C253" s="14" t="s">
        <v>387</v>
      </c>
      <c r="D253" s="14" t="s">
        <v>474</v>
      </c>
      <c r="E253" s="14" t="s">
        <v>391</v>
      </c>
      <c r="F253" s="66">
        <f t="shared" si="6"/>
        <v>0</v>
      </c>
      <c r="G253" s="66">
        <v>0</v>
      </c>
      <c r="H253" s="66"/>
    </row>
    <row r="254" spans="1:8" ht="110.25" customHeight="1" hidden="1">
      <c r="A254" s="33"/>
      <c r="B254" s="30"/>
      <c r="C254" s="30"/>
      <c r="D254" s="30"/>
      <c r="E254" s="30"/>
      <c r="F254" s="67"/>
      <c r="G254" s="67"/>
      <c r="H254" s="67"/>
    </row>
    <row r="255" spans="1:8" ht="24" customHeight="1" hidden="1">
      <c r="A255" s="54"/>
      <c r="B255" s="14"/>
      <c r="C255" s="14"/>
      <c r="D255" s="14"/>
      <c r="E255" s="14"/>
      <c r="F255" s="66"/>
      <c r="G255" s="66"/>
      <c r="H255" s="66"/>
    </row>
    <row r="256" spans="1:8" ht="25.5" customHeight="1" hidden="1">
      <c r="A256" s="54"/>
      <c r="B256" s="14"/>
      <c r="C256" s="14"/>
      <c r="D256" s="14"/>
      <c r="E256" s="14"/>
      <c r="F256" s="66"/>
      <c r="G256" s="66"/>
      <c r="H256" s="66"/>
    </row>
    <row r="257" spans="1:10" s="166" customFormat="1" ht="32.25" customHeight="1">
      <c r="A257" s="64" t="s">
        <v>392</v>
      </c>
      <c r="B257" s="21" t="s">
        <v>393</v>
      </c>
      <c r="C257" s="21" t="s">
        <v>149</v>
      </c>
      <c r="D257" s="21" t="s">
        <v>322</v>
      </c>
      <c r="E257" s="21" t="s">
        <v>414</v>
      </c>
      <c r="F257" s="117">
        <f>G257+H257</f>
        <v>10265.15826</v>
      </c>
      <c r="G257" s="117">
        <f>G258+G291+G282</f>
        <v>7489.531999999999</v>
      </c>
      <c r="H257" s="117">
        <f>H258+H291+H282</f>
        <v>2775.62626</v>
      </c>
      <c r="J257" s="187"/>
    </row>
    <row r="258" spans="1:8" s="150" customFormat="1" ht="16.5" customHeight="1">
      <c r="A258" s="33" t="s">
        <v>365</v>
      </c>
      <c r="B258" s="30" t="s">
        <v>393</v>
      </c>
      <c r="C258" s="30" t="s">
        <v>150</v>
      </c>
      <c r="D258" s="30" t="s">
        <v>322</v>
      </c>
      <c r="E258" s="30" t="s">
        <v>414</v>
      </c>
      <c r="F258" s="67">
        <f t="shared" si="6"/>
        <v>4160.33102</v>
      </c>
      <c r="G258" s="67">
        <f>G259+G266+G269+G274+G279</f>
        <v>1386.3999999999999</v>
      </c>
      <c r="H258" s="67">
        <f>H259+H269</f>
        <v>2773.93102</v>
      </c>
    </row>
    <row r="259" spans="1:8" ht="17.25" customHeight="1">
      <c r="A259" s="29" t="s">
        <v>366</v>
      </c>
      <c r="B259" s="14" t="s">
        <v>393</v>
      </c>
      <c r="C259" s="14" t="s">
        <v>150</v>
      </c>
      <c r="D259" s="14" t="s">
        <v>26</v>
      </c>
      <c r="E259" s="14" t="s">
        <v>414</v>
      </c>
      <c r="F259" s="66">
        <f t="shared" si="6"/>
        <v>1174.8</v>
      </c>
      <c r="G259" s="66">
        <f>G260+G263</f>
        <v>1174.8</v>
      </c>
      <c r="H259" s="66">
        <f>H260</f>
        <v>0</v>
      </c>
    </row>
    <row r="260" spans="1:8" ht="33.75" customHeight="1">
      <c r="A260" s="29" t="s">
        <v>575</v>
      </c>
      <c r="B260" s="14" t="s">
        <v>393</v>
      </c>
      <c r="C260" s="14" t="s">
        <v>150</v>
      </c>
      <c r="D260" s="14" t="s">
        <v>26</v>
      </c>
      <c r="E260" s="14" t="s">
        <v>414</v>
      </c>
      <c r="F260" s="66">
        <f t="shared" si="6"/>
        <v>503.9</v>
      </c>
      <c r="G260" s="66">
        <f>G261</f>
        <v>503.9</v>
      </c>
      <c r="H260" s="66">
        <f>H262</f>
        <v>0</v>
      </c>
    </row>
    <row r="261" spans="1:8" ht="33.75" customHeight="1">
      <c r="A261" s="29" t="s">
        <v>189</v>
      </c>
      <c r="B261" s="14" t="s">
        <v>393</v>
      </c>
      <c r="C261" s="14" t="s">
        <v>150</v>
      </c>
      <c r="D261" s="14" t="s">
        <v>26</v>
      </c>
      <c r="E261" s="14" t="s">
        <v>157</v>
      </c>
      <c r="F261" s="66">
        <f t="shared" si="6"/>
        <v>503.9</v>
      </c>
      <c r="G261" s="66">
        <f>G262</f>
        <v>503.9</v>
      </c>
      <c r="H261" s="66"/>
    </row>
    <row r="262" spans="1:8" ht="48.75" customHeight="1">
      <c r="A262" s="54" t="s">
        <v>190</v>
      </c>
      <c r="B262" s="14" t="s">
        <v>393</v>
      </c>
      <c r="C262" s="14" t="s">
        <v>150</v>
      </c>
      <c r="D262" s="14" t="s">
        <v>26</v>
      </c>
      <c r="E262" s="14" t="s">
        <v>191</v>
      </c>
      <c r="F262" s="66">
        <f t="shared" si="6"/>
        <v>503.9</v>
      </c>
      <c r="G262" s="66">
        <v>503.9</v>
      </c>
      <c r="H262" s="66"/>
    </row>
    <row r="263" spans="1:8" ht="33" customHeight="1">
      <c r="A263" s="29" t="s">
        <v>494</v>
      </c>
      <c r="B263" s="14" t="s">
        <v>393</v>
      </c>
      <c r="C263" s="14" t="s">
        <v>150</v>
      </c>
      <c r="D263" s="14" t="s">
        <v>94</v>
      </c>
      <c r="E263" s="14" t="s">
        <v>414</v>
      </c>
      <c r="F263" s="66">
        <f t="shared" si="6"/>
        <v>670.9</v>
      </c>
      <c r="G263" s="66">
        <f>G264</f>
        <v>670.9</v>
      </c>
      <c r="H263" s="66"/>
    </row>
    <row r="264" spans="1:8" ht="31.5" customHeight="1">
      <c r="A264" s="29" t="s">
        <v>189</v>
      </c>
      <c r="B264" s="14" t="s">
        <v>393</v>
      </c>
      <c r="C264" s="14" t="s">
        <v>150</v>
      </c>
      <c r="D264" s="14" t="s">
        <v>94</v>
      </c>
      <c r="E264" s="14" t="s">
        <v>157</v>
      </c>
      <c r="F264" s="66">
        <f t="shared" si="6"/>
        <v>670.9</v>
      </c>
      <c r="G264" s="66">
        <f>G265</f>
        <v>670.9</v>
      </c>
      <c r="H264" s="66"/>
    </row>
    <row r="265" spans="1:8" ht="48" customHeight="1">
      <c r="A265" s="54" t="s">
        <v>190</v>
      </c>
      <c r="B265" s="14" t="s">
        <v>393</v>
      </c>
      <c r="C265" s="14" t="s">
        <v>150</v>
      </c>
      <c r="D265" s="14" t="s">
        <v>94</v>
      </c>
      <c r="E265" s="14" t="s">
        <v>191</v>
      </c>
      <c r="F265" s="66">
        <f t="shared" si="6"/>
        <v>670.9</v>
      </c>
      <c r="G265" s="66">
        <f>655.9+15</f>
        <v>670.9</v>
      </c>
      <c r="H265" s="66"/>
    </row>
    <row r="266" spans="1:8" ht="48" customHeight="1" hidden="1">
      <c r="A266" s="48" t="s">
        <v>764</v>
      </c>
      <c r="B266" s="30" t="s">
        <v>393</v>
      </c>
      <c r="C266" s="30" t="s">
        <v>150</v>
      </c>
      <c r="D266" s="30" t="s">
        <v>765</v>
      </c>
      <c r="E266" s="30" t="s">
        <v>414</v>
      </c>
      <c r="F266" s="67">
        <f t="shared" si="6"/>
        <v>0</v>
      </c>
      <c r="G266" s="67">
        <f>G267</f>
        <v>0</v>
      </c>
      <c r="H266" s="67"/>
    </row>
    <row r="267" spans="1:8" ht="36" customHeight="1" hidden="1">
      <c r="A267" s="29" t="s">
        <v>189</v>
      </c>
      <c r="B267" s="14" t="s">
        <v>393</v>
      </c>
      <c r="C267" s="14" t="s">
        <v>150</v>
      </c>
      <c r="D267" s="14" t="s">
        <v>765</v>
      </c>
      <c r="E267" s="14" t="s">
        <v>157</v>
      </c>
      <c r="F267" s="66">
        <f t="shared" si="6"/>
        <v>0</v>
      </c>
      <c r="G267" s="66">
        <f>G268</f>
        <v>0</v>
      </c>
      <c r="H267" s="66"/>
    </row>
    <row r="268" spans="1:8" ht="48" customHeight="1" hidden="1">
      <c r="A268" s="54" t="s">
        <v>190</v>
      </c>
      <c r="B268" s="14" t="s">
        <v>393</v>
      </c>
      <c r="C268" s="14" t="s">
        <v>150</v>
      </c>
      <c r="D268" s="14" t="s">
        <v>765</v>
      </c>
      <c r="E268" s="14" t="s">
        <v>191</v>
      </c>
      <c r="F268" s="66">
        <f t="shared" si="6"/>
        <v>0</v>
      </c>
      <c r="G268" s="66">
        <v>0</v>
      </c>
      <c r="H268" s="66"/>
    </row>
    <row r="269" spans="1:8" ht="81.75" customHeight="1">
      <c r="A269" s="33" t="s">
        <v>576</v>
      </c>
      <c r="B269" s="30" t="s">
        <v>393</v>
      </c>
      <c r="C269" s="30" t="s">
        <v>150</v>
      </c>
      <c r="D269" s="30" t="s">
        <v>577</v>
      </c>
      <c r="E269" s="30" t="s">
        <v>414</v>
      </c>
      <c r="F269" s="67">
        <f t="shared" si="6"/>
        <v>2803.93102</v>
      </c>
      <c r="G269" s="67">
        <f>G270</f>
        <v>30</v>
      </c>
      <c r="H269" s="67">
        <f>H270</f>
        <v>2773.93102</v>
      </c>
    </row>
    <row r="270" spans="1:8" ht="63" customHeight="1">
      <c r="A270" s="54" t="s">
        <v>578</v>
      </c>
      <c r="B270" s="14" t="s">
        <v>393</v>
      </c>
      <c r="C270" s="14" t="s">
        <v>150</v>
      </c>
      <c r="D270" s="14" t="s">
        <v>577</v>
      </c>
      <c r="E270" s="14" t="s">
        <v>414</v>
      </c>
      <c r="F270" s="66">
        <f t="shared" si="6"/>
        <v>2803.93102</v>
      </c>
      <c r="G270" s="66">
        <f>G271</f>
        <v>30</v>
      </c>
      <c r="H270" s="66">
        <f>H271</f>
        <v>2773.93102</v>
      </c>
    </row>
    <row r="271" spans="1:8" ht="24" customHeight="1">
      <c r="A271" s="29" t="s">
        <v>194</v>
      </c>
      <c r="B271" s="14" t="s">
        <v>393</v>
      </c>
      <c r="C271" s="14" t="s">
        <v>150</v>
      </c>
      <c r="D271" s="14" t="s">
        <v>577</v>
      </c>
      <c r="E271" s="14" t="s">
        <v>195</v>
      </c>
      <c r="F271" s="66">
        <f t="shared" si="6"/>
        <v>2803.93102</v>
      </c>
      <c r="G271" s="66">
        <f>G273</f>
        <v>30</v>
      </c>
      <c r="H271" s="66">
        <f>H272</f>
        <v>2773.93102</v>
      </c>
    </row>
    <row r="272" spans="1:8" ht="63" customHeight="1">
      <c r="A272" s="29" t="s">
        <v>722</v>
      </c>
      <c r="B272" s="14" t="s">
        <v>393</v>
      </c>
      <c r="C272" s="14" t="s">
        <v>150</v>
      </c>
      <c r="D272" s="14" t="s">
        <v>579</v>
      </c>
      <c r="E272" s="14" t="s">
        <v>391</v>
      </c>
      <c r="F272" s="66">
        <f t="shared" si="6"/>
        <v>2773.93102</v>
      </c>
      <c r="G272" s="66"/>
      <c r="H272" s="66">
        <f>1382.48629+1391.44473</f>
        <v>2773.93102</v>
      </c>
    </row>
    <row r="273" spans="1:8" ht="63" customHeight="1">
      <c r="A273" s="29" t="s">
        <v>723</v>
      </c>
      <c r="B273" s="14" t="s">
        <v>393</v>
      </c>
      <c r="C273" s="14" t="s">
        <v>150</v>
      </c>
      <c r="D273" s="14" t="s">
        <v>752</v>
      </c>
      <c r="E273" s="14" t="s">
        <v>391</v>
      </c>
      <c r="F273" s="66">
        <f t="shared" si="6"/>
        <v>30</v>
      </c>
      <c r="G273" s="66">
        <f>20+10</f>
        <v>30</v>
      </c>
      <c r="H273" s="66"/>
    </row>
    <row r="274" spans="1:8" ht="33" customHeight="1">
      <c r="A274" s="48" t="s">
        <v>151</v>
      </c>
      <c r="B274" s="30" t="s">
        <v>393</v>
      </c>
      <c r="C274" s="30" t="s">
        <v>150</v>
      </c>
      <c r="D274" s="30" t="s">
        <v>10</v>
      </c>
      <c r="E274" s="30" t="s">
        <v>414</v>
      </c>
      <c r="F274" s="67">
        <f t="shared" si="6"/>
        <v>100</v>
      </c>
      <c r="G274" s="67">
        <f>G275</f>
        <v>100</v>
      </c>
      <c r="H274" s="67"/>
    </row>
    <row r="275" spans="1:8" ht="33" customHeight="1">
      <c r="A275" s="54" t="s">
        <v>152</v>
      </c>
      <c r="B275" s="14" t="s">
        <v>393</v>
      </c>
      <c r="C275" s="14" t="s">
        <v>150</v>
      </c>
      <c r="D275" s="14" t="s">
        <v>11</v>
      </c>
      <c r="E275" s="14" t="s">
        <v>414</v>
      </c>
      <c r="F275" s="66">
        <f t="shared" si="6"/>
        <v>100</v>
      </c>
      <c r="G275" s="66">
        <f>G276</f>
        <v>100</v>
      </c>
      <c r="H275" s="66"/>
    </row>
    <row r="276" spans="1:8" ht="114.75" customHeight="1">
      <c r="A276" s="44" t="s">
        <v>580</v>
      </c>
      <c r="B276" s="61" t="s">
        <v>393</v>
      </c>
      <c r="C276" s="61" t="s">
        <v>150</v>
      </c>
      <c r="D276" s="61" t="s">
        <v>581</v>
      </c>
      <c r="E276" s="61" t="s">
        <v>414</v>
      </c>
      <c r="F276" s="114">
        <f t="shared" si="6"/>
        <v>100</v>
      </c>
      <c r="G276" s="114">
        <f>G277</f>
        <v>100</v>
      </c>
      <c r="H276" s="114"/>
    </row>
    <row r="277" spans="1:8" ht="36" customHeight="1">
      <c r="A277" s="29" t="s">
        <v>189</v>
      </c>
      <c r="B277" s="14" t="s">
        <v>393</v>
      </c>
      <c r="C277" s="14" t="s">
        <v>150</v>
      </c>
      <c r="D277" s="14" t="s">
        <v>581</v>
      </c>
      <c r="E277" s="14" t="s">
        <v>157</v>
      </c>
      <c r="F277" s="66">
        <f t="shared" si="6"/>
        <v>100</v>
      </c>
      <c r="G277" s="66">
        <f>G278</f>
        <v>100</v>
      </c>
      <c r="H277" s="66"/>
    </row>
    <row r="278" spans="1:8" ht="48" customHeight="1">
      <c r="A278" s="54" t="s">
        <v>190</v>
      </c>
      <c r="B278" s="14" t="s">
        <v>393</v>
      </c>
      <c r="C278" s="14" t="s">
        <v>150</v>
      </c>
      <c r="D278" s="14" t="s">
        <v>581</v>
      </c>
      <c r="E278" s="14" t="s">
        <v>191</v>
      </c>
      <c r="F278" s="66">
        <f t="shared" si="6"/>
        <v>100</v>
      </c>
      <c r="G278" s="66">
        <f>250-150</f>
        <v>100</v>
      </c>
      <c r="H278" s="66"/>
    </row>
    <row r="279" spans="1:8" s="150" customFormat="1" ht="79.5" customHeight="1">
      <c r="A279" s="48" t="s">
        <v>533</v>
      </c>
      <c r="B279" s="30" t="s">
        <v>393</v>
      </c>
      <c r="C279" s="30" t="s">
        <v>150</v>
      </c>
      <c r="D279" s="30" t="s">
        <v>531</v>
      </c>
      <c r="E279" s="30" t="s">
        <v>414</v>
      </c>
      <c r="F279" s="67">
        <f t="shared" si="6"/>
        <v>81.6</v>
      </c>
      <c r="G279" s="67">
        <f>G280</f>
        <v>81.6</v>
      </c>
      <c r="H279" s="67"/>
    </row>
    <row r="280" spans="1:8" ht="39" customHeight="1">
      <c r="A280" s="29" t="s">
        <v>189</v>
      </c>
      <c r="B280" s="14" t="s">
        <v>393</v>
      </c>
      <c r="C280" s="14" t="s">
        <v>150</v>
      </c>
      <c r="D280" s="14" t="s">
        <v>674</v>
      </c>
      <c r="E280" s="14" t="s">
        <v>157</v>
      </c>
      <c r="F280" s="66">
        <f>G280</f>
        <v>81.6</v>
      </c>
      <c r="G280" s="66">
        <f>G281</f>
        <v>81.6</v>
      </c>
      <c r="H280" s="66"/>
    </row>
    <row r="281" spans="1:8" ht="48" customHeight="1">
      <c r="A281" s="54" t="s">
        <v>190</v>
      </c>
      <c r="B281" s="14" t="s">
        <v>393</v>
      </c>
      <c r="C281" s="14" t="s">
        <v>150</v>
      </c>
      <c r="D281" s="14" t="s">
        <v>674</v>
      </c>
      <c r="E281" s="14" t="s">
        <v>191</v>
      </c>
      <c r="F281" s="66">
        <f>G281</f>
        <v>81.6</v>
      </c>
      <c r="G281" s="66">
        <f>31.6+50</f>
        <v>81.6</v>
      </c>
      <c r="H281" s="66"/>
    </row>
    <row r="282" spans="1:8" s="150" customFormat="1" ht="17.25" customHeight="1">
      <c r="A282" s="48" t="s">
        <v>398</v>
      </c>
      <c r="B282" s="30" t="s">
        <v>393</v>
      </c>
      <c r="C282" s="30" t="s">
        <v>155</v>
      </c>
      <c r="D282" s="30" t="s">
        <v>322</v>
      </c>
      <c r="E282" s="30" t="s">
        <v>414</v>
      </c>
      <c r="F282" s="67">
        <f t="shared" si="6"/>
        <v>2357.002</v>
      </c>
      <c r="G282" s="67">
        <f>G283+G286</f>
        <v>2357.002</v>
      </c>
      <c r="H282" s="67">
        <f>H283+H286</f>
        <v>0</v>
      </c>
    </row>
    <row r="283" spans="1:8" ht="17.25" customHeight="1">
      <c r="A283" s="54" t="s">
        <v>399</v>
      </c>
      <c r="B283" s="14" t="s">
        <v>393</v>
      </c>
      <c r="C283" s="14" t="s">
        <v>155</v>
      </c>
      <c r="D283" s="14" t="s">
        <v>27</v>
      </c>
      <c r="E283" s="14" t="s">
        <v>414</v>
      </c>
      <c r="F283" s="66">
        <f t="shared" si="6"/>
        <v>75</v>
      </c>
      <c r="G283" s="66">
        <f>G284</f>
        <v>75</v>
      </c>
      <c r="H283" s="66">
        <f>H284</f>
        <v>0</v>
      </c>
    </row>
    <row r="284" spans="1:8" ht="34.5" customHeight="1">
      <c r="A284" s="29" t="s">
        <v>189</v>
      </c>
      <c r="B284" s="14" t="s">
        <v>393</v>
      </c>
      <c r="C284" s="14" t="s">
        <v>155</v>
      </c>
      <c r="D284" s="14" t="s">
        <v>27</v>
      </c>
      <c r="E284" s="14" t="s">
        <v>157</v>
      </c>
      <c r="F284" s="66">
        <f t="shared" si="6"/>
        <v>75</v>
      </c>
      <c r="G284" s="66">
        <f>G285</f>
        <v>75</v>
      </c>
      <c r="H284" s="66">
        <f>H285</f>
        <v>0</v>
      </c>
    </row>
    <row r="285" spans="1:8" ht="49.5" customHeight="1">
      <c r="A285" s="54" t="s">
        <v>190</v>
      </c>
      <c r="B285" s="14" t="s">
        <v>393</v>
      </c>
      <c r="C285" s="14" t="s">
        <v>155</v>
      </c>
      <c r="D285" s="14" t="s">
        <v>27</v>
      </c>
      <c r="E285" s="14" t="s">
        <v>191</v>
      </c>
      <c r="F285" s="66">
        <f t="shared" si="6"/>
        <v>75</v>
      </c>
      <c r="G285" s="66">
        <f>90-15</f>
        <v>75</v>
      </c>
      <c r="H285" s="66"/>
    </row>
    <row r="286" spans="1:8" ht="17.25" customHeight="1">
      <c r="A286" s="54" t="s">
        <v>400</v>
      </c>
      <c r="B286" s="14" t="s">
        <v>393</v>
      </c>
      <c r="C286" s="14" t="s">
        <v>155</v>
      </c>
      <c r="D286" s="14" t="s">
        <v>28</v>
      </c>
      <c r="E286" s="14" t="s">
        <v>414</v>
      </c>
      <c r="F286" s="66">
        <f t="shared" si="6"/>
        <v>2282.002</v>
      </c>
      <c r="G286" s="66">
        <f>G287+G289</f>
        <v>2282.002</v>
      </c>
      <c r="H286" s="66">
        <f>H287</f>
        <v>0</v>
      </c>
    </row>
    <row r="287" spans="1:8" ht="37.5" customHeight="1">
      <c r="A287" s="29" t="s">
        <v>189</v>
      </c>
      <c r="B287" s="14" t="s">
        <v>393</v>
      </c>
      <c r="C287" s="14" t="s">
        <v>155</v>
      </c>
      <c r="D287" s="14" t="s">
        <v>28</v>
      </c>
      <c r="E287" s="14" t="s">
        <v>157</v>
      </c>
      <c r="F287" s="66">
        <f t="shared" si="6"/>
        <v>1985.404</v>
      </c>
      <c r="G287" s="66">
        <f>G288</f>
        <v>1985.404</v>
      </c>
      <c r="H287" s="66">
        <f>H288</f>
        <v>0</v>
      </c>
    </row>
    <row r="288" spans="1:8" ht="48" customHeight="1">
      <c r="A288" s="54" t="s">
        <v>190</v>
      </c>
      <c r="B288" s="14" t="s">
        <v>393</v>
      </c>
      <c r="C288" s="14" t="s">
        <v>155</v>
      </c>
      <c r="D288" s="14" t="s">
        <v>28</v>
      </c>
      <c r="E288" s="14" t="s">
        <v>191</v>
      </c>
      <c r="F288" s="66">
        <f t="shared" si="6"/>
        <v>1985.404</v>
      </c>
      <c r="G288" s="66">
        <f>100+1950.4+0.004-65</f>
        <v>1985.404</v>
      </c>
      <c r="H288" s="66"/>
    </row>
    <row r="289" spans="1:8" ht="48" customHeight="1">
      <c r="A289" s="54" t="s">
        <v>604</v>
      </c>
      <c r="B289" s="14" t="s">
        <v>393</v>
      </c>
      <c r="C289" s="14" t="s">
        <v>155</v>
      </c>
      <c r="D289" s="14" t="s">
        <v>28</v>
      </c>
      <c r="E289" s="14" t="s">
        <v>605</v>
      </c>
      <c r="F289" s="66">
        <f>G289</f>
        <v>296.598</v>
      </c>
      <c r="G289" s="66">
        <f>G290</f>
        <v>296.598</v>
      </c>
      <c r="H289" s="66"/>
    </row>
    <row r="290" spans="1:8" ht="16.5" customHeight="1">
      <c r="A290" s="54" t="s">
        <v>606</v>
      </c>
      <c r="B290" s="14" t="s">
        <v>393</v>
      </c>
      <c r="C290" s="14" t="s">
        <v>155</v>
      </c>
      <c r="D290" s="14" t="s">
        <v>28</v>
      </c>
      <c r="E290" s="14" t="s">
        <v>607</v>
      </c>
      <c r="F290" s="66">
        <f>G290</f>
        <v>296.598</v>
      </c>
      <c r="G290" s="66">
        <v>296.598</v>
      </c>
      <c r="H290" s="66"/>
    </row>
    <row r="291" spans="1:8" ht="34.5" customHeight="1">
      <c r="A291" s="29" t="s">
        <v>369</v>
      </c>
      <c r="B291" s="14" t="s">
        <v>393</v>
      </c>
      <c r="C291" s="14" t="s">
        <v>393</v>
      </c>
      <c r="D291" s="14" t="s">
        <v>322</v>
      </c>
      <c r="E291" s="14" t="s">
        <v>414</v>
      </c>
      <c r="F291" s="66">
        <f t="shared" si="6"/>
        <v>3747.82524</v>
      </c>
      <c r="G291" s="66">
        <f>G292</f>
        <v>3746.13</v>
      </c>
      <c r="H291" s="66">
        <f>H292+H299</f>
        <v>1.69524</v>
      </c>
    </row>
    <row r="292" spans="1:8" ht="33.75" customHeight="1">
      <c r="A292" s="29" t="s">
        <v>151</v>
      </c>
      <c r="B292" s="14" t="s">
        <v>393</v>
      </c>
      <c r="C292" s="14" t="s">
        <v>393</v>
      </c>
      <c r="D292" s="14" t="s">
        <v>11</v>
      </c>
      <c r="E292" s="14" t="s">
        <v>414</v>
      </c>
      <c r="F292" s="66">
        <f t="shared" si="6"/>
        <v>3746.13</v>
      </c>
      <c r="G292" s="66">
        <f>G293</f>
        <v>3746.13</v>
      </c>
      <c r="H292" s="66">
        <f>H293</f>
        <v>0</v>
      </c>
    </row>
    <row r="293" spans="1:8" s="150" customFormat="1" ht="48" customHeight="1">
      <c r="A293" s="33" t="s">
        <v>152</v>
      </c>
      <c r="B293" s="30" t="s">
        <v>393</v>
      </c>
      <c r="C293" s="30" t="s">
        <v>393</v>
      </c>
      <c r="D293" s="30" t="s">
        <v>14</v>
      </c>
      <c r="E293" s="30" t="s">
        <v>414</v>
      </c>
      <c r="F293" s="67">
        <f t="shared" si="6"/>
        <v>3746.13</v>
      </c>
      <c r="G293" s="67">
        <f>G294</f>
        <v>3746.13</v>
      </c>
      <c r="H293" s="67">
        <f>H294</f>
        <v>0</v>
      </c>
    </row>
    <row r="294" spans="1:8" ht="48" customHeight="1">
      <c r="A294" s="29" t="s">
        <v>394</v>
      </c>
      <c r="B294" s="14" t="s">
        <v>393</v>
      </c>
      <c r="C294" s="14" t="s">
        <v>393</v>
      </c>
      <c r="D294" s="14" t="s">
        <v>14</v>
      </c>
      <c r="E294" s="14" t="s">
        <v>414</v>
      </c>
      <c r="F294" s="66">
        <f t="shared" si="6"/>
        <v>3746.13</v>
      </c>
      <c r="G294" s="66">
        <f>G295+G297</f>
        <v>3746.13</v>
      </c>
      <c r="H294" s="66">
        <f>SUM(H295:H298)</f>
        <v>0</v>
      </c>
    </row>
    <row r="295" spans="1:8" ht="96.75" customHeight="1">
      <c r="A295" s="29" t="s">
        <v>186</v>
      </c>
      <c r="B295" s="14" t="s">
        <v>393</v>
      </c>
      <c r="C295" s="14" t="s">
        <v>393</v>
      </c>
      <c r="D295" s="14" t="s">
        <v>14</v>
      </c>
      <c r="E295" s="14" t="s">
        <v>153</v>
      </c>
      <c r="F295" s="66">
        <f t="shared" si="6"/>
        <v>3582.5</v>
      </c>
      <c r="G295" s="66">
        <f>G296</f>
        <v>3582.5</v>
      </c>
      <c r="H295" s="66"/>
    </row>
    <row r="296" spans="1:8" ht="34.5" customHeight="1">
      <c r="A296" s="54" t="s">
        <v>188</v>
      </c>
      <c r="B296" s="14" t="s">
        <v>393</v>
      </c>
      <c r="C296" s="14" t="s">
        <v>393</v>
      </c>
      <c r="D296" s="14" t="s">
        <v>14</v>
      </c>
      <c r="E296" s="14" t="s">
        <v>187</v>
      </c>
      <c r="F296" s="66">
        <f t="shared" si="6"/>
        <v>3582.5</v>
      </c>
      <c r="G296" s="66">
        <f>2717+45+820.5</f>
        <v>3582.5</v>
      </c>
      <c r="H296" s="66"/>
    </row>
    <row r="297" spans="1:8" ht="32.25" customHeight="1">
      <c r="A297" s="29" t="s">
        <v>189</v>
      </c>
      <c r="B297" s="14" t="s">
        <v>393</v>
      </c>
      <c r="C297" s="14" t="s">
        <v>393</v>
      </c>
      <c r="D297" s="14" t="s">
        <v>14</v>
      </c>
      <c r="E297" s="14" t="s">
        <v>157</v>
      </c>
      <c r="F297" s="66">
        <f t="shared" si="6"/>
        <v>163.63</v>
      </c>
      <c r="G297" s="66">
        <f>G298</f>
        <v>163.63</v>
      </c>
      <c r="H297" s="66"/>
    </row>
    <row r="298" spans="1:8" ht="50.25" customHeight="1">
      <c r="A298" s="54" t="s">
        <v>190</v>
      </c>
      <c r="B298" s="14" t="s">
        <v>393</v>
      </c>
      <c r="C298" s="14" t="s">
        <v>393</v>
      </c>
      <c r="D298" s="14" t="s">
        <v>14</v>
      </c>
      <c r="E298" s="14" t="s">
        <v>191</v>
      </c>
      <c r="F298" s="66">
        <f t="shared" si="6"/>
        <v>163.63</v>
      </c>
      <c r="G298" s="66">
        <f>58.63+15+65+25</f>
        <v>163.63</v>
      </c>
      <c r="H298" s="66"/>
    </row>
    <row r="299" spans="1:8" s="150" customFormat="1" ht="78" customHeight="1">
      <c r="A299" s="48" t="s">
        <v>749</v>
      </c>
      <c r="B299" s="30" t="s">
        <v>393</v>
      </c>
      <c r="C299" s="30" t="s">
        <v>393</v>
      </c>
      <c r="D299" s="30" t="s">
        <v>29</v>
      </c>
      <c r="E299" s="30" t="s">
        <v>414</v>
      </c>
      <c r="F299" s="67">
        <f t="shared" si="6"/>
        <v>1.69524</v>
      </c>
      <c r="G299" s="67"/>
      <c r="H299" s="67">
        <f>H300+H302</f>
        <v>1.69524</v>
      </c>
    </row>
    <row r="300" spans="1:8" ht="94.5" customHeight="1">
      <c r="A300" s="54" t="s">
        <v>367</v>
      </c>
      <c r="B300" s="14" t="s">
        <v>393</v>
      </c>
      <c r="C300" s="14" t="s">
        <v>393</v>
      </c>
      <c r="D300" s="14" t="s">
        <v>29</v>
      </c>
      <c r="E300" s="14" t="s">
        <v>153</v>
      </c>
      <c r="F300" s="66">
        <f t="shared" si="6"/>
        <v>1.69524</v>
      </c>
      <c r="G300" s="66"/>
      <c r="H300" s="66">
        <f>H301</f>
        <v>1.69524</v>
      </c>
    </row>
    <row r="301" spans="1:8" ht="34.5" customHeight="1">
      <c r="A301" s="54" t="s">
        <v>188</v>
      </c>
      <c r="B301" s="14" t="s">
        <v>393</v>
      </c>
      <c r="C301" s="14" t="s">
        <v>393</v>
      </c>
      <c r="D301" s="14" t="s">
        <v>29</v>
      </c>
      <c r="E301" s="14" t="s">
        <v>187</v>
      </c>
      <c r="F301" s="66">
        <f t="shared" si="6"/>
        <v>1.69524</v>
      </c>
      <c r="G301" s="66"/>
      <c r="H301" s="66">
        <v>1.69524</v>
      </c>
    </row>
    <row r="302" spans="1:8" ht="34.5" customHeight="1" hidden="1">
      <c r="A302" s="54" t="s">
        <v>189</v>
      </c>
      <c r="B302" s="14" t="s">
        <v>393</v>
      </c>
      <c r="C302" s="14" t="s">
        <v>393</v>
      </c>
      <c r="D302" s="14" t="s">
        <v>29</v>
      </c>
      <c r="E302" s="14" t="s">
        <v>157</v>
      </c>
      <c r="F302" s="66">
        <f t="shared" si="6"/>
        <v>0</v>
      </c>
      <c r="G302" s="66"/>
      <c r="H302" s="66">
        <f>H303</f>
        <v>0</v>
      </c>
    </row>
    <row r="303" spans="1:8" ht="51" customHeight="1" hidden="1">
      <c r="A303" s="54" t="s">
        <v>190</v>
      </c>
      <c r="B303" s="14" t="s">
        <v>393</v>
      </c>
      <c r="C303" s="14" t="s">
        <v>393</v>
      </c>
      <c r="D303" s="14" t="s">
        <v>29</v>
      </c>
      <c r="E303" s="14" t="s">
        <v>191</v>
      </c>
      <c r="F303" s="66">
        <f t="shared" si="6"/>
        <v>0</v>
      </c>
      <c r="G303" s="66"/>
      <c r="H303" s="66">
        <v>0</v>
      </c>
    </row>
    <row r="304" spans="1:12" s="166" customFormat="1" ht="20.25" customHeight="1">
      <c r="A304" s="64" t="s">
        <v>395</v>
      </c>
      <c r="B304" s="21" t="s">
        <v>396</v>
      </c>
      <c r="C304" s="21" t="s">
        <v>149</v>
      </c>
      <c r="D304" s="21" t="s">
        <v>322</v>
      </c>
      <c r="E304" s="21" t="s">
        <v>414</v>
      </c>
      <c r="F304" s="117">
        <f>G304+H304</f>
        <v>457570.77047</v>
      </c>
      <c r="G304" s="117">
        <f>G305+G333+G367+G383+G407+G430+G412</f>
        <v>210749.05504</v>
      </c>
      <c r="H304" s="117">
        <f>H305+H333+H407+H430+H412+H383</f>
        <v>246821.71542999998</v>
      </c>
      <c r="J304" s="187"/>
      <c r="K304" s="169"/>
      <c r="L304" s="169"/>
    </row>
    <row r="305" spans="1:8" ht="18.75" customHeight="1">
      <c r="A305" s="29" t="s">
        <v>405</v>
      </c>
      <c r="B305" s="14" t="s">
        <v>396</v>
      </c>
      <c r="C305" s="14" t="s">
        <v>148</v>
      </c>
      <c r="D305" s="14" t="s">
        <v>322</v>
      </c>
      <c r="E305" s="14" t="s">
        <v>414</v>
      </c>
      <c r="F305" s="66">
        <f t="shared" si="6"/>
        <v>77265.59300000001</v>
      </c>
      <c r="G305" s="66">
        <f>G306+G315+G324+G328</f>
        <v>37796.48100000001</v>
      </c>
      <c r="H305" s="66">
        <f>H321</f>
        <v>39469.112</v>
      </c>
    </row>
    <row r="306" spans="1:8" s="150" customFormat="1" ht="49.5" customHeight="1">
      <c r="A306" s="33" t="s">
        <v>477</v>
      </c>
      <c r="B306" s="30" t="s">
        <v>396</v>
      </c>
      <c r="C306" s="30" t="s">
        <v>148</v>
      </c>
      <c r="D306" s="30" t="s">
        <v>31</v>
      </c>
      <c r="E306" s="30" t="s">
        <v>414</v>
      </c>
      <c r="F306" s="67">
        <f t="shared" si="6"/>
        <v>36896.48100000001</v>
      </c>
      <c r="G306" s="67">
        <f>G307</f>
        <v>36896.48100000001</v>
      </c>
      <c r="H306" s="67">
        <f>H307</f>
        <v>0</v>
      </c>
    </row>
    <row r="307" spans="1:8" ht="48" customHeight="1">
      <c r="A307" s="34" t="s">
        <v>260</v>
      </c>
      <c r="B307" s="14" t="s">
        <v>396</v>
      </c>
      <c r="C307" s="14" t="s">
        <v>148</v>
      </c>
      <c r="D307" s="14" t="s">
        <v>44</v>
      </c>
      <c r="E307" s="14" t="s">
        <v>414</v>
      </c>
      <c r="F307" s="66">
        <f t="shared" si="6"/>
        <v>36896.48100000001</v>
      </c>
      <c r="G307" s="66">
        <f>G308+G310+G313</f>
        <v>36896.48100000001</v>
      </c>
      <c r="H307" s="66">
        <f>SUM(H309:H312)</f>
        <v>0</v>
      </c>
    </row>
    <row r="308" spans="1:8" ht="50.25" customHeight="1">
      <c r="A308" s="29" t="s">
        <v>212</v>
      </c>
      <c r="B308" s="14" t="s">
        <v>396</v>
      </c>
      <c r="C308" s="14" t="s">
        <v>148</v>
      </c>
      <c r="D308" s="14" t="s">
        <v>46</v>
      </c>
      <c r="E308" s="14" t="s">
        <v>213</v>
      </c>
      <c r="F308" s="66">
        <f t="shared" si="6"/>
        <v>2984.8810000000003</v>
      </c>
      <c r="G308" s="66">
        <f>G309</f>
        <v>2984.8810000000003</v>
      </c>
      <c r="H308" s="66">
        <f>H309</f>
        <v>0</v>
      </c>
    </row>
    <row r="309" spans="1:8" ht="19.5" customHeight="1">
      <c r="A309" s="29" t="s">
        <v>214</v>
      </c>
      <c r="B309" s="14" t="s">
        <v>396</v>
      </c>
      <c r="C309" s="14" t="s">
        <v>148</v>
      </c>
      <c r="D309" s="14" t="s">
        <v>45</v>
      </c>
      <c r="E309" s="14" t="s">
        <v>289</v>
      </c>
      <c r="F309" s="66">
        <f t="shared" si="6"/>
        <v>2984.8810000000003</v>
      </c>
      <c r="G309" s="66">
        <f>200+200+2794.8-209.919</f>
        <v>2984.8810000000003</v>
      </c>
      <c r="H309" s="66"/>
    </row>
    <row r="310" spans="1:8" ht="96" customHeight="1">
      <c r="A310" s="29" t="s">
        <v>950</v>
      </c>
      <c r="B310" s="14" t="s">
        <v>396</v>
      </c>
      <c r="C310" s="14" t="s">
        <v>148</v>
      </c>
      <c r="D310" s="14" t="s">
        <v>46</v>
      </c>
      <c r="E310" s="14" t="s">
        <v>414</v>
      </c>
      <c r="F310" s="66">
        <f t="shared" si="6"/>
        <v>33831.600000000006</v>
      </c>
      <c r="G310" s="66">
        <f>G311</f>
        <v>33831.600000000006</v>
      </c>
      <c r="H310" s="66">
        <f>SUM(H311:H312)</f>
        <v>0</v>
      </c>
    </row>
    <row r="311" spans="1:8" ht="48" customHeight="1">
      <c r="A311" s="29" t="s">
        <v>212</v>
      </c>
      <c r="B311" s="14" t="s">
        <v>396</v>
      </c>
      <c r="C311" s="14" t="s">
        <v>148</v>
      </c>
      <c r="D311" s="14" t="s">
        <v>47</v>
      </c>
      <c r="E311" s="14" t="s">
        <v>213</v>
      </c>
      <c r="F311" s="66">
        <f t="shared" si="6"/>
        <v>33831.600000000006</v>
      </c>
      <c r="G311" s="66">
        <f>G312</f>
        <v>33831.600000000006</v>
      </c>
      <c r="H311" s="66"/>
    </row>
    <row r="312" spans="1:10" ht="15.75" customHeight="1">
      <c r="A312" s="29" t="s">
        <v>214</v>
      </c>
      <c r="B312" s="14" t="s">
        <v>396</v>
      </c>
      <c r="C312" s="14" t="s">
        <v>148</v>
      </c>
      <c r="D312" s="14" t="s">
        <v>47</v>
      </c>
      <c r="E312" s="14" t="s">
        <v>289</v>
      </c>
      <c r="F312" s="66">
        <f t="shared" si="6"/>
        <v>33831.600000000006</v>
      </c>
      <c r="G312" s="66">
        <f>21846.4+4500.9-1950.4+2310.4+7124.3</f>
        <v>33831.600000000006</v>
      </c>
      <c r="H312" s="66"/>
      <c r="J312" s="155"/>
    </row>
    <row r="313" spans="1:10" ht="52.5" customHeight="1">
      <c r="A313" s="29" t="s">
        <v>212</v>
      </c>
      <c r="B313" s="14" t="s">
        <v>396</v>
      </c>
      <c r="C313" s="14" t="s">
        <v>148</v>
      </c>
      <c r="D313" s="14" t="s">
        <v>883</v>
      </c>
      <c r="E313" s="14" t="s">
        <v>213</v>
      </c>
      <c r="F313" s="66">
        <f>G313+H313</f>
        <v>80</v>
      </c>
      <c r="G313" s="66">
        <f>G314</f>
        <v>80</v>
      </c>
      <c r="H313" s="66">
        <f>H314</f>
        <v>0</v>
      </c>
      <c r="J313" s="155"/>
    </row>
    <row r="314" spans="1:10" ht="30.75" customHeight="1">
      <c r="A314" s="29" t="s">
        <v>886</v>
      </c>
      <c r="B314" s="14" t="s">
        <v>396</v>
      </c>
      <c r="C314" s="14" t="s">
        <v>148</v>
      </c>
      <c r="D314" s="14" t="s">
        <v>883</v>
      </c>
      <c r="E314" s="14" t="s">
        <v>289</v>
      </c>
      <c r="F314" s="66">
        <f>G314+H314</f>
        <v>80</v>
      </c>
      <c r="G314" s="66">
        <v>80</v>
      </c>
      <c r="H314" s="66"/>
      <c r="J314" s="155"/>
    </row>
    <row r="315" spans="1:8" ht="35.25" customHeight="1" hidden="1">
      <c r="A315" s="44" t="s">
        <v>582</v>
      </c>
      <c r="B315" s="61" t="s">
        <v>396</v>
      </c>
      <c r="C315" s="61" t="s">
        <v>148</v>
      </c>
      <c r="D315" s="61" t="s">
        <v>322</v>
      </c>
      <c r="E315" s="61" t="s">
        <v>414</v>
      </c>
      <c r="F315" s="114">
        <f>G315</f>
        <v>0</v>
      </c>
      <c r="G315" s="114">
        <f>G316</f>
        <v>0</v>
      </c>
      <c r="H315" s="114"/>
    </row>
    <row r="316" spans="1:8" ht="30" customHeight="1" hidden="1">
      <c r="A316" s="29" t="s">
        <v>583</v>
      </c>
      <c r="B316" s="14" t="s">
        <v>396</v>
      </c>
      <c r="C316" s="14" t="s">
        <v>148</v>
      </c>
      <c r="D316" s="14" t="s">
        <v>584</v>
      </c>
      <c r="E316" s="14" t="s">
        <v>414</v>
      </c>
      <c r="F316" s="66">
        <f>G316</f>
        <v>0</v>
      </c>
      <c r="G316" s="66">
        <f>G317</f>
        <v>0</v>
      </c>
      <c r="H316" s="66"/>
    </row>
    <row r="317" spans="1:8" ht="51" customHeight="1" hidden="1">
      <c r="A317" s="29" t="s">
        <v>212</v>
      </c>
      <c r="B317" s="14" t="s">
        <v>396</v>
      </c>
      <c r="C317" s="14" t="s">
        <v>148</v>
      </c>
      <c r="D317" s="14" t="s">
        <v>584</v>
      </c>
      <c r="E317" s="14" t="s">
        <v>213</v>
      </c>
      <c r="F317" s="66">
        <f>G317</f>
        <v>0</v>
      </c>
      <c r="G317" s="66">
        <f>G318</f>
        <v>0</v>
      </c>
      <c r="H317" s="66"/>
    </row>
    <row r="318" spans="1:8" ht="22.5" customHeight="1" hidden="1">
      <c r="A318" s="29" t="s">
        <v>214</v>
      </c>
      <c r="B318" s="14" t="s">
        <v>396</v>
      </c>
      <c r="C318" s="14" t="s">
        <v>148</v>
      </c>
      <c r="D318" s="14" t="s">
        <v>584</v>
      </c>
      <c r="E318" s="14" t="s">
        <v>289</v>
      </c>
      <c r="F318" s="66">
        <f>G318</f>
        <v>0</v>
      </c>
      <c r="G318" s="66"/>
      <c r="H318" s="66"/>
    </row>
    <row r="319" spans="1:8" ht="46.5" customHeight="1">
      <c r="A319" s="33" t="s">
        <v>477</v>
      </c>
      <c r="B319" s="30" t="s">
        <v>396</v>
      </c>
      <c r="C319" s="30" t="s">
        <v>148</v>
      </c>
      <c r="D319" s="30" t="s">
        <v>31</v>
      </c>
      <c r="E319" s="30" t="s">
        <v>414</v>
      </c>
      <c r="F319" s="67">
        <f>G319+H319</f>
        <v>39469.112</v>
      </c>
      <c r="G319" s="67">
        <v>0</v>
      </c>
      <c r="H319" s="67">
        <f>H320</f>
        <v>39469.112</v>
      </c>
    </row>
    <row r="320" spans="1:8" ht="54.75" customHeight="1">
      <c r="A320" s="34" t="s">
        <v>260</v>
      </c>
      <c r="B320" s="14" t="s">
        <v>396</v>
      </c>
      <c r="C320" s="14" t="s">
        <v>148</v>
      </c>
      <c r="D320" s="14" t="s">
        <v>44</v>
      </c>
      <c r="E320" s="14" t="s">
        <v>414</v>
      </c>
      <c r="F320" s="66">
        <f>G320+H320</f>
        <v>39469.112</v>
      </c>
      <c r="G320" s="66">
        <v>0</v>
      </c>
      <c r="H320" s="66">
        <f>H321</f>
        <v>39469.112</v>
      </c>
    </row>
    <row r="321" spans="1:8" s="150" customFormat="1" ht="81" customHeight="1">
      <c r="A321" s="33" t="s">
        <v>401</v>
      </c>
      <c r="B321" s="30" t="s">
        <v>396</v>
      </c>
      <c r="C321" s="170" t="s">
        <v>148</v>
      </c>
      <c r="D321" s="30" t="s">
        <v>48</v>
      </c>
      <c r="E321" s="30" t="s">
        <v>414</v>
      </c>
      <c r="F321" s="67">
        <f t="shared" si="6"/>
        <v>39469.112</v>
      </c>
      <c r="G321" s="67">
        <f>G322</f>
        <v>0</v>
      </c>
      <c r="H321" s="67">
        <f>H322</f>
        <v>39469.112</v>
      </c>
    </row>
    <row r="322" spans="1:8" ht="51" customHeight="1">
      <c r="A322" s="29" t="s">
        <v>212</v>
      </c>
      <c r="B322" s="14" t="s">
        <v>396</v>
      </c>
      <c r="C322" s="14" t="s">
        <v>148</v>
      </c>
      <c r="D322" s="14" t="s">
        <v>48</v>
      </c>
      <c r="E322" s="14" t="s">
        <v>213</v>
      </c>
      <c r="F322" s="66">
        <f t="shared" si="6"/>
        <v>39469.112</v>
      </c>
      <c r="G322" s="66">
        <v>0</v>
      </c>
      <c r="H322" s="66">
        <f>H323</f>
        <v>39469.112</v>
      </c>
    </row>
    <row r="323" spans="1:8" ht="18.75" customHeight="1">
      <c r="A323" s="29" t="s">
        <v>214</v>
      </c>
      <c r="B323" s="14" t="s">
        <v>396</v>
      </c>
      <c r="C323" s="14" t="s">
        <v>148</v>
      </c>
      <c r="D323" s="14" t="s">
        <v>48</v>
      </c>
      <c r="E323" s="14" t="s">
        <v>289</v>
      </c>
      <c r="F323" s="66">
        <f>G323+H323</f>
        <v>39469.112</v>
      </c>
      <c r="G323" s="66">
        <v>0</v>
      </c>
      <c r="H323" s="66">
        <f>38428.372+1040.74</f>
        <v>39469.112</v>
      </c>
    </row>
    <row r="324" spans="1:8" ht="53.25" customHeight="1" hidden="1">
      <c r="A324" s="29" t="s">
        <v>878</v>
      </c>
      <c r="B324" s="14" t="s">
        <v>396</v>
      </c>
      <c r="C324" s="14" t="s">
        <v>148</v>
      </c>
      <c r="D324" s="14" t="s">
        <v>11</v>
      </c>
      <c r="E324" s="14" t="s">
        <v>414</v>
      </c>
      <c r="F324" s="66">
        <f>G324+H324</f>
        <v>0</v>
      </c>
      <c r="G324" s="66">
        <f>G325</f>
        <v>0</v>
      </c>
      <c r="H324" s="66">
        <f>H325</f>
        <v>0</v>
      </c>
    </row>
    <row r="325" spans="1:8" ht="61.5" customHeight="1" hidden="1">
      <c r="A325" s="29" t="s">
        <v>877</v>
      </c>
      <c r="B325" s="14" t="s">
        <v>396</v>
      </c>
      <c r="C325" s="14" t="s">
        <v>148</v>
      </c>
      <c r="D325" s="14" t="s">
        <v>11</v>
      </c>
      <c r="E325" s="14" t="s">
        <v>213</v>
      </c>
      <c r="F325" s="66">
        <f>F327</f>
        <v>0</v>
      </c>
      <c r="G325" s="66">
        <f>G327</f>
        <v>0</v>
      </c>
      <c r="H325" s="66">
        <f>H327</f>
        <v>0</v>
      </c>
    </row>
    <row r="326" spans="1:8" ht="27.75" customHeight="1" hidden="1">
      <c r="A326" s="29" t="s">
        <v>212</v>
      </c>
      <c r="B326" s="14" t="s">
        <v>396</v>
      </c>
      <c r="C326" s="14" t="s">
        <v>148</v>
      </c>
      <c r="D326" s="14" t="s">
        <v>11</v>
      </c>
      <c r="E326" s="14" t="s">
        <v>213</v>
      </c>
      <c r="F326" s="66"/>
      <c r="G326" s="66"/>
      <c r="H326" s="66"/>
    </row>
    <row r="327" spans="1:8" ht="18.75" customHeight="1" hidden="1">
      <c r="A327" s="29" t="s">
        <v>214</v>
      </c>
      <c r="B327" s="14" t="s">
        <v>396</v>
      </c>
      <c r="C327" s="14" t="s">
        <v>148</v>
      </c>
      <c r="D327" s="14" t="s">
        <v>11</v>
      </c>
      <c r="E327" s="14" t="s">
        <v>289</v>
      </c>
      <c r="F327" s="66">
        <f>G327+H327</f>
        <v>0</v>
      </c>
      <c r="G327" s="66"/>
      <c r="H327" s="66">
        <v>0</v>
      </c>
    </row>
    <row r="328" spans="1:8" ht="36.75" customHeight="1">
      <c r="A328" s="29" t="s">
        <v>151</v>
      </c>
      <c r="B328" s="14" t="s">
        <v>396</v>
      </c>
      <c r="C328" s="14" t="s">
        <v>148</v>
      </c>
      <c r="D328" s="14" t="s">
        <v>10</v>
      </c>
      <c r="E328" s="14" t="s">
        <v>414</v>
      </c>
      <c r="F328" s="66">
        <f>G328</f>
        <v>900</v>
      </c>
      <c r="G328" s="66">
        <f>G329</f>
        <v>900</v>
      </c>
      <c r="H328" s="66"/>
    </row>
    <row r="329" spans="1:8" ht="30.75" customHeight="1">
      <c r="A329" s="29" t="s">
        <v>152</v>
      </c>
      <c r="B329" s="14" t="s">
        <v>396</v>
      </c>
      <c r="C329" s="14" t="s">
        <v>148</v>
      </c>
      <c r="D329" s="14" t="s">
        <v>11</v>
      </c>
      <c r="E329" s="14" t="s">
        <v>414</v>
      </c>
      <c r="F329" s="66">
        <f>G329</f>
        <v>900</v>
      </c>
      <c r="G329" s="66">
        <f>G330</f>
        <v>900</v>
      </c>
      <c r="H329" s="66"/>
    </row>
    <row r="330" spans="1:8" ht="36.75" customHeight="1">
      <c r="A330" s="135" t="s">
        <v>645</v>
      </c>
      <c r="B330" s="14" t="s">
        <v>396</v>
      </c>
      <c r="C330" s="14" t="s">
        <v>148</v>
      </c>
      <c r="D330" s="14" t="s">
        <v>584</v>
      </c>
      <c r="E330" s="14" t="s">
        <v>414</v>
      </c>
      <c r="F330" s="66">
        <f>G330+H330</f>
        <v>900</v>
      </c>
      <c r="G330" s="134">
        <f>G331</f>
        <v>900</v>
      </c>
      <c r="H330" s="66"/>
    </row>
    <row r="331" spans="1:8" ht="30" customHeight="1">
      <c r="A331" s="29" t="s">
        <v>212</v>
      </c>
      <c r="B331" s="14" t="s">
        <v>396</v>
      </c>
      <c r="C331" s="14" t="s">
        <v>148</v>
      </c>
      <c r="D331" s="14" t="s">
        <v>584</v>
      </c>
      <c r="E331" s="14" t="s">
        <v>213</v>
      </c>
      <c r="F331" s="66">
        <f>G331+H331</f>
        <v>900</v>
      </c>
      <c r="G331" s="134">
        <f>G332</f>
        <v>900</v>
      </c>
      <c r="H331" s="66"/>
    </row>
    <row r="332" spans="1:8" ht="18.75" customHeight="1">
      <c r="A332" s="29" t="s">
        <v>214</v>
      </c>
      <c r="B332" s="14" t="s">
        <v>396</v>
      </c>
      <c r="C332" s="14" t="s">
        <v>148</v>
      </c>
      <c r="D332" s="14" t="s">
        <v>584</v>
      </c>
      <c r="E332" s="14" t="s">
        <v>289</v>
      </c>
      <c r="F332" s="66">
        <f>G332+H332</f>
        <v>900</v>
      </c>
      <c r="G332" s="134">
        <v>900</v>
      </c>
      <c r="H332" s="66"/>
    </row>
    <row r="333" spans="1:11" ht="17.25" customHeight="1">
      <c r="A333" s="29" t="s">
        <v>450</v>
      </c>
      <c r="B333" s="14" t="s">
        <v>396</v>
      </c>
      <c r="C333" s="14" t="s">
        <v>150</v>
      </c>
      <c r="D333" s="14" t="s">
        <v>322</v>
      </c>
      <c r="E333" s="14" t="s">
        <v>414</v>
      </c>
      <c r="F333" s="66">
        <f>G333+H333</f>
        <v>292687.80504</v>
      </c>
      <c r="G333" s="66">
        <f>G334+G380</f>
        <v>87987.94403999999</v>
      </c>
      <c r="H333" s="66">
        <f>H334+H367+H377</f>
        <v>204699.861</v>
      </c>
      <c r="K333" s="155"/>
    </row>
    <row r="334" spans="1:8" s="150" customFormat="1" ht="48" customHeight="1">
      <c r="A334" s="33" t="s">
        <v>477</v>
      </c>
      <c r="B334" s="30" t="s">
        <v>396</v>
      </c>
      <c r="C334" s="30" t="s">
        <v>150</v>
      </c>
      <c r="D334" s="30" t="s">
        <v>31</v>
      </c>
      <c r="E334" s="30" t="s">
        <v>414</v>
      </c>
      <c r="F334" s="67">
        <f t="shared" si="6"/>
        <v>87987.94403999999</v>
      </c>
      <c r="G334" s="67">
        <f>G335+G351+G358</f>
        <v>87987.94403999999</v>
      </c>
      <c r="H334" s="67">
        <f>H335+H339+H351+H355+H358</f>
        <v>0</v>
      </c>
    </row>
    <row r="335" spans="1:8" ht="41.25" customHeight="1">
      <c r="A335" s="34" t="s">
        <v>481</v>
      </c>
      <c r="B335" s="14" t="s">
        <v>396</v>
      </c>
      <c r="C335" s="14" t="s">
        <v>150</v>
      </c>
      <c r="D335" s="14" t="s">
        <v>49</v>
      </c>
      <c r="E335" s="14" t="s">
        <v>414</v>
      </c>
      <c r="F335" s="66">
        <f t="shared" si="6"/>
        <v>86418.94403999999</v>
      </c>
      <c r="G335" s="66">
        <f>G336+G339+G348+G342+G345</f>
        <v>86418.94403999999</v>
      </c>
      <c r="H335" s="66">
        <f>H336</f>
        <v>0</v>
      </c>
    </row>
    <row r="336" spans="1:8" ht="34.5" customHeight="1">
      <c r="A336" s="29" t="s">
        <v>256</v>
      </c>
      <c r="B336" s="14" t="s">
        <v>396</v>
      </c>
      <c r="C336" s="14" t="s">
        <v>150</v>
      </c>
      <c r="D336" s="14" t="s">
        <v>50</v>
      </c>
      <c r="E336" s="14" t="s">
        <v>414</v>
      </c>
      <c r="F336" s="66">
        <f t="shared" si="6"/>
        <v>11233.487</v>
      </c>
      <c r="G336" s="66">
        <f>G337</f>
        <v>11233.487</v>
      </c>
      <c r="H336" s="66">
        <f>H338</f>
        <v>0</v>
      </c>
    </row>
    <row r="337" spans="1:8" ht="50.25" customHeight="1">
      <c r="A337" s="29" t="s">
        <v>212</v>
      </c>
      <c r="B337" s="14" t="s">
        <v>396</v>
      </c>
      <c r="C337" s="14" t="s">
        <v>150</v>
      </c>
      <c r="D337" s="14" t="s">
        <v>51</v>
      </c>
      <c r="E337" s="14" t="s">
        <v>213</v>
      </c>
      <c r="F337" s="66">
        <f t="shared" si="6"/>
        <v>11233.487</v>
      </c>
      <c r="G337" s="66">
        <f>G338</f>
        <v>11233.487</v>
      </c>
      <c r="H337" s="66"/>
    </row>
    <row r="338" spans="1:8" ht="19.5" customHeight="1">
      <c r="A338" s="29" t="s">
        <v>214</v>
      </c>
      <c r="B338" s="14" t="s">
        <v>396</v>
      </c>
      <c r="C338" s="14" t="s">
        <v>150</v>
      </c>
      <c r="D338" s="14" t="s">
        <v>51</v>
      </c>
      <c r="E338" s="14" t="s">
        <v>289</v>
      </c>
      <c r="F338" s="66">
        <f t="shared" si="6"/>
        <v>11233.487</v>
      </c>
      <c r="G338" s="66">
        <f>700+100+393.313+48.5+210+10268.72-487.046</f>
        <v>11233.487</v>
      </c>
      <c r="H338" s="66"/>
    </row>
    <row r="339" spans="1:8" ht="95.25" customHeight="1">
      <c r="A339" s="29" t="s">
        <v>949</v>
      </c>
      <c r="B339" s="14" t="s">
        <v>396</v>
      </c>
      <c r="C339" s="14" t="s">
        <v>150</v>
      </c>
      <c r="D339" s="14" t="s">
        <v>50</v>
      </c>
      <c r="E339" s="14" t="s">
        <v>414</v>
      </c>
      <c r="F339" s="66">
        <f t="shared" si="6"/>
        <v>74633.97776</v>
      </c>
      <c r="G339" s="66">
        <f>G340</f>
        <v>74633.97776</v>
      </c>
      <c r="H339" s="66">
        <f>SUM(H340:H341)</f>
        <v>0</v>
      </c>
    </row>
    <row r="340" spans="1:8" ht="49.5" customHeight="1">
      <c r="A340" s="29" t="s">
        <v>212</v>
      </c>
      <c r="B340" s="14" t="s">
        <v>396</v>
      </c>
      <c r="C340" s="14" t="s">
        <v>150</v>
      </c>
      <c r="D340" s="14" t="s">
        <v>52</v>
      </c>
      <c r="E340" s="14" t="s">
        <v>213</v>
      </c>
      <c r="F340" s="66">
        <f t="shared" si="6"/>
        <v>74633.97776</v>
      </c>
      <c r="G340" s="66">
        <f>G341</f>
        <v>74633.97776</v>
      </c>
      <c r="H340" s="66"/>
    </row>
    <row r="341" spans="1:8" ht="19.5" customHeight="1">
      <c r="A341" s="29" t="s">
        <v>214</v>
      </c>
      <c r="B341" s="14" t="s">
        <v>396</v>
      </c>
      <c r="C341" s="14" t="s">
        <v>150</v>
      </c>
      <c r="D341" s="14" t="s">
        <v>52</v>
      </c>
      <c r="E341" s="14" t="s">
        <v>289</v>
      </c>
      <c r="F341" s="66">
        <f t="shared" si="6"/>
        <v>74633.97776</v>
      </c>
      <c r="G341" s="66">
        <f>53288.5+0.03321+7299.18953-2500+30.30302-287.5+4678.14+625.912+11091.4+408</f>
        <v>74633.97776</v>
      </c>
      <c r="H341" s="66"/>
    </row>
    <row r="342" spans="1:8" ht="84" customHeight="1">
      <c r="A342" s="29" t="s">
        <v>706</v>
      </c>
      <c r="B342" s="14" t="s">
        <v>396</v>
      </c>
      <c r="C342" s="14" t="s">
        <v>150</v>
      </c>
      <c r="D342" s="14" t="s">
        <v>697</v>
      </c>
      <c r="E342" s="14" t="s">
        <v>414</v>
      </c>
      <c r="F342" s="66">
        <f>G342</f>
        <v>107</v>
      </c>
      <c r="G342" s="66">
        <f>G343</f>
        <v>107</v>
      </c>
      <c r="H342" s="66"/>
    </row>
    <row r="343" spans="1:8" ht="52.5" customHeight="1">
      <c r="A343" s="29" t="s">
        <v>212</v>
      </c>
      <c r="B343" s="14" t="s">
        <v>396</v>
      </c>
      <c r="C343" s="14" t="s">
        <v>150</v>
      </c>
      <c r="D343" s="14" t="s">
        <v>697</v>
      </c>
      <c r="E343" s="14" t="s">
        <v>213</v>
      </c>
      <c r="F343" s="66">
        <f>G343</f>
        <v>107</v>
      </c>
      <c r="G343" s="66">
        <f>G344</f>
        <v>107</v>
      </c>
      <c r="H343" s="66"/>
    </row>
    <row r="344" spans="1:8" ht="19.5" customHeight="1">
      <c r="A344" s="29" t="s">
        <v>214</v>
      </c>
      <c r="B344" s="14" t="s">
        <v>396</v>
      </c>
      <c r="C344" s="14" t="s">
        <v>150</v>
      </c>
      <c r="D344" s="14" t="s">
        <v>697</v>
      </c>
      <c r="E344" s="14" t="s">
        <v>289</v>
      </c>
      <c r="F344" s="66">
        <f>G344</f>
        <v>107</v>
      </c>
      <c r="G344" s="66">
        <f>76+100-69</f>
        <v>107</v>
      </c>
      <c r="H344" s="66"/>
    </row>
    <row r="345" spans="1:8" ht="50.25" customHeight="1">
      <c r="A345" s="29" t="s">
        <v>887</v>
      </c>
      <c r="B345" s="14" t="s">
        <v>396</v>
      </c>
      <c r="C345" s="14" t="s">
        <v>150</v>
      </c>
      <c r="D345" s="14" t="s">
        <v>881</v>
      </c>
      <c r="E345" s="14" t="s">
        <v>414</v>
      </c>
      <c r="F345" s="66">
        <f>G345+H345</f>
        <v>372</v>
      </c>
      <c r="G345" s="66">
        <f>G346</f>
        <v>372</v>
      </c>
      <c r="H345" s="66">
        <f>H346</f>
        <v>0</v>
      </c>
    </row>
    <row r="346" spans="1:8" ht="48.75" customHeight="1">
      <c r="A346" s="29" t="s">
        <v>212</v>
      </c>
      <c r="B346" s="14" t="s">
        <v>396</v>
      </c>
      <c r="C346" s="14" t="s">
        <v>150</v>
      </c>
      <c r="D346" s="14" t="s">
        <v>881</v>
      </c>
      <c r="E346" s="14" t="s">
        <v>213</v>
      </c>
      <c r="F346" s="66">
        <f>G346+H346</f>
        <v>372</v>
      </c>
      <c r="G346" s="66">
        <f>G347</f>
        <v>372</v>
      </c>
      <c r="H346" s="66">
        <f>H347</f>
        <v>0</v>
      </c>
    </row>
    <row r="347" spans="1:8" ht="19.5" customHeight="1">
      <c r="A347" s="29" t="s">
        <v>214</v>
      </c>
      <c r="B347" s="14" t="s">
        <v>396</v>
      </c>
      <c r="C347" s="14" t="s">
        <v>150</v>
      </c>
      <c r="D347" s="14" t="s">
        <v>881</v>
      </c>
      <c r="E347" s="14" t="s">
        <v>289</v>
      </c>
      <c r="F347" s="66">
        <f>G347+H347</f>
        <v>372</v>
      </c>
      <c r="G347" s="66">
        <v>372</v>
      </c>
      <c r="H347" s="66"/>
    </row>
    <row r="348" spans="1:8" ht="30" customHeight="1">
      <c r="A348" s="29" t="s">
        <v>816</v>
      </c>
      <c r="B348" s="14" t="s">
        <v>396</v>
      </c>
      <c r="C348" s="14" t="s">
        <v>150</v>
      </c>
      <c r="D348" s="6" t="s">
        <v>817</v>
      </c>
      <c r="E348" s="14" t="s">
        <v>414</v>
      </c>
      <c r="F348" s="66">
        <f t="shared" si="6"/>
        <v>72.47928</v>
      </c>
      <c r="G348" s="66">
        <f>G349</f>
        <v>72.47928</v>
      </c>
      <c r="H348" s="66">
        <f>H349</f>
        <v>0</v>
      </c>
    </row>
    <row r="349" spans="1:8" ht="51" customHeight="1">
      <c r="A349" s="29" t="s">
        <v>212</v>
      </c>
      <c r="B349" s="14" t="s">
        <v>396</v>
      </c>
      <c r="C349" s="14" t="s">
        <v>150</v>
      </c>
      <c r="D349" s="6" t="s">
        <v>817</v>
      </c>
      <c r="E349" s="14" t="s">
        <v>213</v>
      </c>
      <c r="F349" s="66">
        <f t="shared" si="6"/>
        <v>72.47928</v>
      </c>
      <c r="G349" s="66">
        <f>G350</f>
        <v>72.47928</v>
      </c>
      <c r="H349" s="66">
        <f>H350</f>
        <v>0</v>
      </c>
    </row>
    <row r="350" spans="1:8" ht="25.5" customHeight="1">
      <c r="A350" s="29" t="s">
        <v>214</v>
      </c>
      <c r="B350" s="14" t="s">
        <v>396</v>
      </c>
      <c r="C350" s="14" t="s">
        <v>150</v>
      </c>
      <c r="D350" s="6" t="s">
        <v>817</v>
      </c>
      <c r="E350" s="14" t="s">
        <v>289</v>
      </c>
      <c r="F350" s="66">
        <f t="shared" si="6"/>
        <v>72.47928</v>
      </c>
      <c r="G350" s="66">
        <f>50+68.47928-46</f>
        <v>72.47928</v>
      </c>
      <c r="H350" s="134">
        <v>0</v>
      </c>
    </row>
    <row r="351" spans="1:8" ht="33" customHeight="1">
      <c r="A351" s="34" t="s">
        <v>261</v>
      </c>
      <c r="B351" s="14" t="s">
        <v>396</v>
      </c>
      <c r="C351" s="14" t="s">
        <v>150</v>
      </c>
      <c r="D351" s="14" t="s">
        <v>53</v>
      </c>
      <c r="E351" s="14" t="s">
        <v>414</v>
      </c>
      <c r="F351" s="66">
        <f t="shared" si="6"/>
        <v>1569</v>
      </c>
      <c r="G351" s="66">
        <f>G352+G355</f>
        <v>1569</v>
      </c>
      <c r="H351" s="66">
        <f>H352+H355</f>
        <v>0</v>
      </c>
    </row>
    <row r="352" spans="1:8" ht="32.25" customHeight="1">
      <c r="A352" s="33" t="s">
        <v>262</v>
      </c>
      <c r="B352" s="14" t="s">
        <v>396</v>
      </c>
      <c r="C352" s="14" t="s">
        <v>150</v>
      </c>
      <c r="D352" s="14" t="s">
        <v>54</v>
      </c>
      <c r="E352" s="14" t="s">
        <v>414</v>
      </c>
      <c r="F352" s="66">
        <f aca="true" t="shared" si="9" ref="F352:F491">G352+H352</f>
        <v>250</v>
      </c>
      <c r="G352" s="66">
        <f>G353</f>
        <v>250</v>
      </c>
      <c r="H352" s="66">
        <f>H354</f>
        <v>0</v>
      </c>
    </row>
    <row r="353" spans="1:8" ht="48.75" customHeight="1">
      <c r="A353" s="29" t="s">
        <v>212</v>
      </c>
      <c r="B353" s="14" t="s">
        <v>396</v>
      </c>
      <c r="C353" s="14" t="s">
        <v>150</v>
      </c>
      <c r="D353" s="14" t="s">
        <v>55</v>
      </c>
      <c r="E353" s="14" t="s">
        <v>213</v>
      </c>
      <c r="F353" s="66">
        <f t="shared" si="9"/>
        <v>250</v>
      </c>
      <c r="G353" s="66">
        <f>G354</f>
        <v>250</v>
      </c>
      <c r="H353" s="66"/>
    </row>
    <row r="354" spans="1:8" ht="15.75" customHeight="1">
      <c r="A354" s="29" t="s">
        <v>214</v>
      </c>
      <c r="B354" s="14" t="s">
        <v>396</v>
      </c>
      <c r="C354" s="14" t="s">
        <v>150</v>
      </c>
      <c r="D354" s="14" t="s">
        <v>55</v>
      </c>
      <c r="E354" s="14" t="s">
        <v>289</v>
      </c>
      <c r="F354" s="66">
        <f t="shared" si="9"/>
        <v>250</v>
      </c>
      <c r="G354" s="66">
        <v>250</v>
      </c>
      <c r="H354" s="66"/>
    </row>
    <row r="355" spans="1:8" ht="33" customHeight="1">
      <c r="A355" s="33" t="s">
        <v>257</v>
      </c>
      <c r="B355" s="14" t="s">
        <v>396</v>
      </c>
      <c r="C355" s="14" t="s">
        <v>150</v>
      </c>
      <c r="D355" s="14" t="s">
        <v>54</v>
      </c>
      <c r="E355" s="14" t="s">
        <v>414</v>
      </c>
      <c r="F355" s="66">
        <f t="shared" si="9"/>
        <v>1319</v>
      </c>
      <c r="G355" s="66">
        <f>G356</f>
        <v>1319</v>
      </c>
      <c r="H355" s="66">
        <f>H357</f>
        <v>0</v>
      </c>
    </row>
    <row r="356" spans="1:8" ht="50.25" customHeight="1">
      <c r="A356" s="29" t="s">
        <v>212</v>
      </c>
      <c r="B356" s="14" t="s">
        <v>396</v>
      </c>
      <c r="C356" s="14" t="s">
        <v>150</v>
      </c>
      <c r="D356" s="14" t="s">
        <v>56</v>
      </c>
      <c r="E356" s="14" t="s">
        <v>213</v>
      </c>
      <c r="F356" s="66">
        <f t="shared" si="9"/>
        <v>1319</v>
      </c>
      <c r="G356" s="66">
        <f>G357</f>
        <v>1319</v>
      </c>
      <c r="H356" s="66"/>
    </row>
    <row r="357" spans="1:8" ht="21.75" customHeight="1">
      <c r="A357" s="29" t="s">
        <v>214</v>
      </c>
      <c r="B357" s="14" t="s">
        <v>396</v>
      </c>
      <c r="C357" s="14" t="s">
        <v>150</v>
      </c>
      <c r="D357" s="14" t="s">
        <v>56</v>
      </c>
      <c r="E357" s="14" t="s">
        <v>289</v>
      </c>
      <c r="F357" s="66">
        <f t="shared" si="9"/>
        <v>1319</v>
      </c>
      <c r="G357" s="66">
        <f>750+500+69</f>
        <v>1319</v>
      </c>
      <c r="H357" s="66"/>
    </row>
    <row r="358" spans="1:8" ht="33" customHeight="1" hidden="1">
      <c r="A358" s="34" t="s">
        <v>291</v>
      </c>
      <c r="B358" s="14" t="s">
        <v>396</v>
      </c>
      <c r="C358" s="14" t="s">
        <v>150</v>
      </c>
      <c r="D358" s="14" t="s">
        <v>57</v>
      </c>
      <c r="E358" s="14" t="s">
        <v>414</v>
      </c>
      <c r="F358" s="66">
        <f t="shared" si="9"/>
        <v>0</v>
      </c>
      <c r="G358" s="66">
        <f>G359</f>
        <v>0</v>
      </c>
      <c r="H358" s="66">
        <f>H359+H362+H364</f>
        <v>0</v>
      </c>
    </row>
    <row r="359" spans="1:8" ht="33.75" customHeight="1" hidden="1">
      <c r="A359" s="29" t="s">
        <v>133</v>
      </c>
      <c r="B359" s="14" t="s">
        <v>396</v>
      </c>
      <c r="C359" s="14" t="s">
        <v>150</v>
      </c>
      <c r="D359" s="14" t="s">
        <v>58</v>
      </c>
      <c r="E359" s="14" t="s">
        <v>414</v>
      </c>
      <c r="F359" s="66">
        <f t="shared" si="9"/>
        <v>0</v>
      </c>
      <c r="G359" s="66">
        <f>G360</f>
        <v>0</v>
      </c>
      <c r="H359" s="66"/>
    </row>
    <row r="360" spans="1:8" ht="50.25" customHeight="1" hidden="1">
      <c r="A360" s="29" t="s">
        <v>212</v>
      </c>
      <c r="B360" s="14" t="s">
        <v>396</v>
      </c>
      <c r="C360" s="14" t="s">
        <v>150</v>
      </c>
      <c r="D360" s="14" t="s">
        <v>58</v>
      </c>
      <c r="E360" s="14" t="s">
        <v>213</v>
      </c>
      <c r="F360" s="66">
        <f t="shared" si="9"/>
        <v>0</v>
      </c>
      <c r="G360" s="66">
        <f>G361+G362+G363+G364</f>
        <v>0</v>
      </c>
      <c r="H360" s="66"/>
    </row>
    <row r="361" spans="1:8" ht="35.25" customHeight="1" hidden="1">
      <c r="A361" s="29" t="s">
        <v>128</v>
      </c>
      <c r="B361" s="14" t="s">
        <v>396</v>
      </c>
      <c r="C361" s="14" t="s">
        <v>150</v>
      </c>
      <c r="D361" s="14" t="s">
        <v>59</v>
      </c>
      <c r="E361" s="14" t="s">
        <v>289</v>
      </c>
      <c r="F361" s="66">
        <f t="shared" si="9"/>
        <v>0</v>
      </c>
      <c r="G361" s="66"/>
      <c r="H361" s="66"/>
    </row>
    <row r="362" spans="1:8" ht="30.75" hidden="1">
      <c r="A362" s="29" t="s">
        <v>129</v>
      </c>
      <c r="B362" s="14" t="s">
        <v>396</v>
      </c>
      <c r="C362" s="14" t="s">
        <v>150</v>
      </c>
      <c r="D362" s="14" t="s">
        <v>60</v>
      </c>
      <c r="E362" s="14" t="s">
        <v>289</v>
      </c>
      <c r="F362" s="66">
        <f t="shared" si="9"/>
        <v>0</v>
      </c>
      <c r="G362" s="66"/>
      <c r="H362" s="154"/>
    </row>
    <row r="363" spans="1:8" ht="31.5" customHeight="1" hidden="1">
      <c r="A363" s="29" t="s">
        <v>215</v>
      </c>
      <c r="B363" s="14" t="s">
        <v>396</v>
      </c>
      <c r="C363" s="14" t="s">
        <v>150</v>
      </c>
      <c r="D363" s="14" t="s">
        <v>61</v>
      </c>
      <c r="E363" s="14" t="s">
        <v>289</v>
      </c>
      <c r="F363" s="66">
        <f t="shared" si="9"/>
        <v>0</v>
      </c>
      <c r="G363" s="66"/>
      <c r="H363" s="66"/>
    </row>
    <row r="364" spans="1:8" ht="34.5" customHeight="1" hidden="1">
      <c r="A364" s="29" t="s">
        <v>216</v>
      </c>
      <c r="B364" s="14" t="s">
        <v>396</v>
      </c>
      <c r="C364" s="14" t="s">
        <v>150</v>
      </c>
      <c r="D364" s="14" t="s">
        <v>62</v>
      </c>
      <c r="E364" s="14" t="s">
        <v>289</v>
      </c>
      <c r="F364" s="66">
        <f t="shared" si="9"/>
        <v>0</v>
      </c>
      <c r="G364" s="66"/>
      <c r="H364" s="66"/>
    </row>
    <row r="365" spans="1:8" ht="48.75" customHeight="1">
      <c r="A365" s="33" t="s">
        <v>478</v>
      </c>
      <c r="B365" s="30" t="s">
        <v>396</v>
      </c>
      <c r="C365" s="30" t="s">
        <v>150</v>
      </c>
      <c r="D365" s="30" t="s">
        <v>31</v>
      </c>
      <c r="E365" s="30" t="s">
        <v>414</v>
      </c>
      <c r="F365" s="66">
        <f t="shared" si="9"/>
        <v>188085.861</v>
      </c>
      <c r="G365" s="66">
        <f>G366</f>
        <v>0</v>
      </c>
      <c r="H365" s="66">
        <f>H366</f>
        <v>188085.861</v>
      </c>
    </row>
    <row r="366" spans="1:8" ht="32.25" customHeight="1">
      <c r="A366" s="34" t="s">
        <v>481</v>
      </c>
      <c r="B366" s="14" t="s">
        <v>396</v>
      </c>
      <c r="C366" s="14" t="s">
        <v>150</v>
      </c>
      <c r="D366" s="14" t="s">
        <v>49</v>
      </c>
      <c r="E366" s="14" t="s">
        <v>414</v>
      </c>
      <c r="F366" s="66">
        <f t="shared" si="9"/>
        <v>188085.861</v>
      </c>
      <c r="G366" s="66">
        <f>G367</f>
        <v>0</v>
      </c>
      <c r="H366" s="66">
        <f>H367</f>
        <v>188085.861</v>
      </c>
    </row>
    <row r="367" spans="1:8" s="150" customFormat="1" ht="16.5" customHeight="1">
      <c r="A367" s="33" t="s">
        <v>169</v>
      </c>
      <c r="B367" s="30" t="s">
        <v>396</v>
      </c>
      <c r="C367" s="30" t="s">
        <v>150</v>
      </c>
      <c r="D367" s="30" t="s">
        <v>31</v>
      </c>
      <c r="E367" s="30" t="s">
        <v>414</v>
      </c>
      <c r="F367" s="67">
        <f t="shared" si="9"/>
        <v>188085.861</v>
      </c>
      <c r="G367" s="67">
        <f>G368+G374</f>
        <v>0</v>
      </c>
      <c r="H367" s="67">
        <f>H368+H371+H374</f>
        <v>188085.861</v>
      </c>
    </row>
    <row r="368" spans="1:8" s="150" customFormat="1" ht="47.25" customHeight="1">
      <c r="A368" s="33" t="s">
        <v>589</v>
      </c>
      <c r="B368" s="30" t="s">
        <v>396</v>
      </c>
      <c r="C368" s="30" t="s">
        <v>150</v>
      </c>
      <c r="D368" s="30" t="s">
        <v>49</v>
      </c>
      <c r="E368" s="30" t="s">
        <v>414</v>
      </c>
      <c r="F368" s="67">
        <f t="shared" si="9"/>
        <v>7270.9</v>
      </c>
      <c r="G368" s="67">
        <f>G369</f>
        <v>0</v>
      </c>
      <c r="H368" s="67">
        <f>H369</f>
        <v>7270.9</v>
      </c>
    </row>
    <row r="369" spans="1:8" ht="49.5" customHeight="1">
      <c r="A369" s="29" t="s">
        <v>212</v>
      </c>
      <c r="B369" s="14" t="s">
        <v>396</v>
      </c>
      <c r="C369" s="14" t="s">
        <v>150</v>
      </c>
      <c r="D369" s="14" t="s">
        <v>590</v>
      </c>
      <c r="E369" s="14" t="s">
        <v>213</v>
      </c>
      <c r="F369" s="66">
        <f t="shared" si="9"/>
        <v>7270.9</v>
      </c>
      <c r="G369" s="66"/>
      <c r="H369" s="66">
        <f>H370</f>
        <v>7270.9</v>
      </c>
    </row>
    <row r="370" spans="1:8" ht="18" customHeight="1">
      <c r="A370" s="29" t="s">
        <v>214</v>
      </c>
      <c r="B370" s="14" t="s">
        <v>396</v>
      </c>
      <c r="C370" s="14" t="s">
        <v>150</v>
      </c>
      <c r="D370" s="14" t="s">
        <v>590</v>
      </c>
      <c r="E370" s="14" t="s">
        <v>289</v>
      </c>
      <c r="F370" s="66">
        <f t="shared" si="9"/>
        <v>7270.9</v>
      </c>
      <c r="G370" s="66"/>
      <c r="H370" s="66">
        <v>7270.9</v>
      </c>
    </row>
    <row r="371" spans="1:8" ht="80.25" customHeight="1">
      <c r="A371" s="33" t="s">
        <v>800</v>
      </c>
      <c r="B371" s="30" t="s">
        <v>396</v>
      </c>
      <c r="C371" s="30" t="s">
        <v>150</v>
      </c>
      <c r="D371" s="30" t="s">
        <v>801</v>
      </c>
      <c r="E371" s="30" t="s">
        <v>414</v>
      </c>
      <c r="F371" s="67">
        <f>G371+H371</f>
        <v>10876.6</v>
      </c>
      <c r="G371" s="67">
        <v>0</v>
      </c>
      <c r="H371" s="67">
        <f>H372</f>
        <v>10876.6</v>
      </c>
    </row>
    <row r="372" spans="1:8" ht="45" customHeight="1">
      <c r="A372" s="29" t="s">
        <v>212</v>
      </c>
      <c r="B372" s="14" t="s">
        <v>396</v>
      </c>
      <c r="C372" s="14" t="s">
        <v>150</v>
      </c>
      <c r="D372" s="14" t="s">
        <v>801</v>
      </c>
      <c r="E372" s="14" t="s">
        <v>213</v>
      </c>
      <c r="F372" s="66">
        <f>G372+H372</f>
        <v>10876.6</v>
      </c>
      <c r="G372" s="66"/>
      <c r="H372" s="66">
        <f>H373</f>
        <v>10876.6</v>
      </c>
    </row>
    <row r="373" spans="1:8" ht="15" customHeight="1">
      <c r="A373" s="29" t="s">
        <v>214</v>
      </c>
      <c r="B373" s="14" t="s">
        <v>396</v>
      </c>
      <c r="C373" s="14" t="s">
        <v>150</v>
      </c>
      <c r="D373" s="14" t="s">
        <v>801</v>
      </c>
      <c r="E373" s="14" t="s">
        <v>289</v>
      </c>
      <c r="F373" s="66">
        <f>G373+H373</f>
        <v>10876.6</v>
      </c>
      <c r="G373" s="66"/>
      <c r="H373" s="66">
        <f>18147.5-7270.9</f>
        <v>10876.6</v>
      </c>
    </row>
    <row r="374" spans="1:8" s="150" customFormat="1" ht="80.25" customHeight="1">
      <c r="A374" s="33" t="s">
        <v>183</v>
      </c>
      <c r="B374" s="30" t="s">
        <v>396</v>
      </c>
      <c r="C374" s="30" t="s">
        <v>150</v>
      </c>
      <c r="D374" s="30" t="s">
        <v>49</v>
      </c>
      <c r="E374" s="30" t="s">
        <v>414</v>
      </c>
      <c r="F374" s="67">
        <f t="shared" si="9"/>
        <v>169938.361</v>
      </c>
      <c r="G374" s="67">
        <f>G375</f>
        <v>0</v>
      </c>
      <c r="H374" s="67">
        <f>H375</f>
        <v>169938.361</v>
      </c>
    </row>
    <row r="375" spans="1:8" ht="48.75" customHeight="1">
      <c r="A375" s="29" t="s">
        <v>212</v>
      </c>
      <c r="B375" s="14" t="s">
        <v>396</v>
      </c>
      <c r="C375" s="14" t="s">
        <v>150</v>
      </c>
      <c r="D375" s="14" t="s">
        <v>63</v>
      </c>
      <c r="E375" s="14" t="s">
        <v>213</v>
      </c>
      <c r="F375" s="66">
        <f t="shared" si="9"/>
        <v>169938.361</v>
      </c>
      <c r="G375" s="66"/>
      <c r="H375" s="66">
        <f>H376</f>
        <v>169938.361</v>
      </c>
    </row>
    <row r="376" spans="1:8" ht="17.25" customHeight="1">
      <c r="A376" s="29" t="s">
        <v>214</v>
      </c>
      <c r="B376" s="14" t="s">
        <v>396</v>
      </c>
      <c r="C376" s="14" t="s">
        <v>150</v>
      </c>
      <c r="D376" s="14" t="s">
        <v>63</v>
      </c>
      <c r="E376" s="14" t="s">
        <v>289</v>
      </c>
      <c r="F376" s="66">
        <f t="shared" si="9"/>
        <v>169938.361</v>
      </c>
      <c r="G376" s="66"/>
      <c r="H376" s="66">
        <f>161257.823-3185.1+11865.638</f>
        <v>169938.361</v>
      </c>
    </row>
    <row r="377" spans="1:8" ht="97.5" customHeight="1">
      <c r="A377" s="33" t="s">
        <v>794</v>
      </c>
      <c r="B377" s="30" t="s">
        <v>396</v>
      </c>
      <c r="C377" s="30" t="s">
        <v>150</v>
      </c>
      <c r="D377" s="30" t="s">
        <v>802</v>
      </c>
      <c r="E377" s="30" t="s">
        <v>414</v>
      </c>
      <c r="F377" s="67">
        <f aca="true" t="shared" si="10" ref="F377:F384">G377+H377</f>
        <v>16614</v>
      </c>
      <c r="G377" s="67">
        <v>0</v>
      </c>
      <c r="H377" s="67">
        <f>H378</f>
        <v>16614</v>
      </c>
    </row>
    <row r="378" spans="1:8" ht="45.75" customHeight="1">
      <c r="A378" s="29" t="s">
        <v>212</v>
      </c>
      <c r="B378" s="14" t="s">
        <v>396</v>
      </c>
      <c r="C378" s="14" t="s">
        <v>150</v>
      </c>
      <c r="D378" s="14" t="s">
        <v>802</v>
      </c>
      <c r="E378" s="14" t="s">
        <v>213</v>
      </c>
      <c r="F378" s="66">
        <f t="shared" si="10"/>
        <v>16614</v>
      </c>
      <c r="G378" s="66"/>
      <c r="H378" s="66">
        <f>H379</f>
        <v>16614</v>
      </c>
    </row>
    <row r="379" spans="1:8" ht="17.25" customHeight="1">
      <c r="A379" s="29" t="s">
        <v>214</v>
      </c>
      <c r="B379" s="14" t="s">
        <v>396</v>
      </c>
      <c r="C379" s="14" t="s">
        <v>150</v>
      </c>
      <c r="D379" s="14" t="s">
        <v>802</v>
      </c>
      <c r="E379" s="14" t="s">
        <v>289</v>
      </c>
      <c r="F379" s="66">
        <f t="shared" si="10"/>
        <v>16614</v>
      </c>
      <c r="G379" s="66"/>
      <c r="H379" s="66">
        <f>12051+4563</f>
        <v>16614</v>
      </c>
    </row>
    <row r="380" spans="1:8" ht="60" customHeight="1" hidden="1">
      <c r="A380" s="29" t="s">
        <v>879</v>
      </c>
      <c r="B380" s="14" t="s">
        <v>396</v>
      </c>
      <c r="C380" s="14" t="s">
        <v>150</v>
      </c>
      <c r="D380" s="12" t="s">
        <v>11</v>
      </c>
      <c r="E380" s="30" t="s">
        <v>414</v>
      </c>
      <c r="F380" s="66">
        <f t="shared" si="10"/>
        <v>0</v>
      </c>
      <c r="G380" s="66">
        <f>G381</f>
        <v>0</v>
      </c>
      <c r="H380" s="66">
        <f>H381</f>
        <v>0</v>
      </c>
    </row>
    <row r="381" spans="1:8" ht="72" customHeight="1" hidden="1">
      <c r="A381" s="29" t="s">
        <v>877</v>
      </c>
      <c r="B381" s="14" t="s">
        <v>396</v>
      </c>
      <c r="C381" s="14" t="s">
        <v>150</v>
      </c>
      <c r="D381" s="12" t="s">
        <v>11</v>
      </c>
      <c r="E381" s="14" t="s">
        <v>213</v>
      </c>
      <c r="F381" s="66">
        <f t="shared" si="10"/>
        <v>0</v>
      </c>
      <c r="G381" s="66">
        <f>G382</f>
        <v>0</v>
      </c>
      <c r="H381" s="66">
        <f>H382</f>
        <v>0</v>
      </c>
    </row>
    <row r="382" spans="1:8" ht="17.25" customHeight="1" hidden="1">
      <c r="A382" s="29" t="s">
        <v>214</v>
      </c>
      <c r="B382" s="14" t="s">
        <v>396</v>
      </c>
      <c r="C382" s="14" t="s">
        <v>150</v>
      </c>
      <c r="D382" s="12" t="s">
        <v>11</v>
      </c>
      <c r="E382" s="14" t="s">
        <v>289</v>
      </c>
      <c r="F382" s="66">
        <f t="shared" si="10"/>
        <v>0</v>
      </c>
      <c r="G382" s="66">
        <v>0</v>
      </c>
      <c r="H382" s="66"/>
    </row>
    <row r="383" spans="1:10" ht="20.25" customHeight="1">
      <c r="A383" s="33" t="s">
        <v>591</v>
      </c>
      <c r="B383" s="30" t="s">
        <v>396</v>
      </c>
      <c r="C383" s="30" t="s">
        <v>155</v>
      </c>
      <c r="D383" s="30" t="s">
        <v>322</v>
      </c>
      <c r="E383" s="30" t="s">
        <v>414</v>
      </c>
      <c r="F383" s="67">
        <f t="shared" si="10"/>
        <v>33194.333999999995</v>
      </c>
      <c r="G383" s="67">
        <f>G384+G404</f>
        <v>33194.333999999995</v>
      </c>
      <c r="H383" s="67">
        <f>H384</f>
        <v>0</v>
      </c>
      <c r="J383" s="155"/>
    </row>
    <row r="384" spans="1:9" s="150" customFormat="1" ht="48.75" customHeight="1">
      <c r="A384" s="33" t="s">
        <v>478</v>
      </c>
      <c r="B384" s="30" t="s">
        <v>396</v>
      </c>
      <c r="C384" s="30" t="s">
        <v>155</v>
      </c>
      <c r="D384" s="30" t="s">
        <v>31</v>
      </c>
      <c r="E384" s="30" t="s">
        <v>414</v>
      </c>
      <c r="F384" s="67">
        <f t="shared" si="10"/>
        <v>33003.645</v>
      </c>
      <c r="G384" s="67">
        <f>G385+G394</f>
        <v>33003.645</v>
      </c>
      <c r="H384" s="67">
        <f>H394</f>
        <v>0</v>
      </c>
      <c r="I384" s="156"/>
    </row>
    <row r="385" spans="1:8" ht="33.75" customHeight="1">
      <c r="A385" s="34" t="s">
        <v>291</v>
      </c>
      <c r="B385" s="14" t="s">
        <v>396</v>
      </c>
      <c r="C385" s="14" t="s">
        <v>155</v>
      </c>
      <c r="D385" s="14" t="s">
        <v>57</v>
      </c>
      <c r="E385" s="14" t="s">
        <v>414</v>
      </c>
      <c r="F385" s="66">
        <f t="shared" si="9"/>
        <v>33003.645</v>
      </c>
      <c r="G385" s="66">
        <f>G386</f>
        <v>33003.645</v>
      </c>
      <c r="H385" s="66"/>
    </row>
    <row r="386" spans="1:8" ht="30" customHeight="1">
      <c r="A386" s="29" t="s">
        <v>133</v>
      </c>
      <c r="B386" s="14" t="s">
        <v>396</v>
      </c>
      <c r="C386" s="14" t="s">
        <v>155</v>
      </c>
      <c r="D386" s="14" t="s">
        <v>58</v>
      </c>
      <c r="E386" s="14" t="s">
        <v>414</v>
      </c>
      <c r="F386" s="66">
        <f t="shared" si="9"/>
        <v>33003.645</v>
      </c>
      <c r="G386" s="66">
        <f>G387</f>
        <v>33003.645</v>
      </c>
      <c r="H386" s="66"/>
    </row>
    <row r="387" spans="1:8" ht="52.5" customHeight="1">
      <c r="A387" s="29" t="s">
        <v>212</v>
      </c>
      <c r="B387" s="14" t="s">
        <v>396</v>
      </c>
      <c r="C387" s="14" t="s">
        <v>155</v>
      </c>
      <c r="D387" s="14" t="s">
        <v>58</v>
      </c>
      <c r="E387" s="14" t="s">
        <v>213</v>
      </c>
      <c r="F387" s="66">
        <f t="shared" si="9"/>
        <v>33003.645</v>
      </c>
      <c r="G387" s="66">
        <f>G388+G389+G391+G392+G393+G390+G403</f>
        <v>33003.645</v>
      </c>
      <c r="H387" s="66"/>
    </row>
    <row r="388" spans="1:8" ht="36" customHeight="1">
      <c r="A388" s="29" t="s">
        <v>905</v>
      </c>
      <c r="B388" s="14" t="s">
        <v>396</v>
      </c>
      <c r="C388" s="14" t="s">
        <v>155</v>
      </c>
      <c r="D388" s="14" t="s">
        <v>906</v>
      </c>
      <c r="E388" s="14" t="s">
        <v>289</v>
      </c>
      <c r="F388" s="66">
        <f>G388</f>
        <v>2666.965</v>
      </c>
      <c r="G388" s="66">
        <f>800+225+945+96.966+599.999</f>
        <v>2666.965</v>
      </c>
      <c r="H388" s="66"/>
    </row>
    <row r="389" spans="1:9" ht="34.5" customHeight="1">
      <c r="A389" s="29" t="s">
        <v>128</v>
      </c>
      <c r="B389" s="14" t="s">
        <v>396</v>
      </c>
      <c r="C389" s="14" t="s">
        <v>155</v>
      </c>
      <c r="D389" s="14" t="s">
        <v>59</v>
      </c>
      <c r="E389" s="14" t="s">
        <v>289</v>
      </c>
      <c r="F389" s="66">
        <f t="shared" si="9"/>
        <v>6392.8</v>
      </c>
      <c r="G389" s="66">
        <f>3819.1+1302.2+180+1017.8+46+27.7</f>
        <v>6392.8</v>
      </c>
      <c r="H389" s="66"/>
      <c r="I389" s="155"/>
    </row>
    <row r="390" spans="1:9" ht="47.25" customHeight="1">
      <c r="A390" s="29" t="s">
        <v>885</v>
      </c>
      <c r="B390" s="14" t="s">
        <v>396</v>
      </c>
      <c r="C390" s="14" t="s">
        <v>155</v>
      </c>
      <c r="D390" s="14" t="s">
        <v>884</v>
      </c>
      <c r="E390" s="14" t="s">
        <v>289</v>
      </c>
      <c r="F390" s="66">
        <f t="shared" si="9"/>
        <v>48</v>
      </c>
      <c r="G390" s="66">
        <v>48</v>
      </c>
      <c r="H390" s="66"/>
      <c r="I390" s="155"/>
    </row>
    <row r="391" spans="1:9" ht="31.5" customHeight="1">
      <c r="A391" s="29" t="s">
        <v>916</v>
      </c>
      <c r="B391" s="14" t="s">
        <v>396</v>
      </c>
      <c r="C391" s="14" t="s">
        <v>155</v>
      </c>
      <c r="D391" s="14" t="s">
        <v>60</v>
      </c>
      <c r="E391" s="14" t="s">
        <v>289</v>
      </c>
      <c r="F391" s="66">
        <f t="shared" si="9"/>
        <v>12401.48</v>
      </c>
      <c r="G391" s="66">
        <f>8578.88+2555.1+617-220+850.5+20</f>
        <v>12401.48</v>
      </c>
      <c r="H391" s="66"/>
      <c r="I391" s="155"/>
    </row>
    <row r="392" spans="1:9" ht="36" customHeight="1">
      <c r="A392" s="29" t="s">
        <v>215</v>
      </c>
      <c r="B392" s="14" t="s">
        <v>396</v>
      </c>
      <c r="C392" s="14" t="s">
        <v>155</v>
      </c>
      <c r="D392" s="14" t="s">
        <v>61</v>
      </c>
      <c r="E392" s="14" t="s">
        <v>289</v>
      </c>
      <c r="F392" s="66">
        <f t="shared" si="9"/>
        <v>7601.46</v>
      </c>
      <c r="G392" s="66">
        <f>4998.16+1893.3+180+530</f>
        <v>7601.46</v>
      </c>
      <c r="H392" s="66"/>
      <c r="I392" s="155"/>
    </row>
    <row r="393" spans="1:9" ht="34.5" customHeight="1">
      <c r="A393" s="29" t="s">
        <v>216</v>
      </c>
      <c r="B393" s="14" t="s">
        <v>396</v>
      </c>
      <c r="C393" s="14" t="s">
        <v>155</v>
      </c>
      <c r="D393" s="14" t="s">
        <v>62</v>
      </c>
      <c r="E393" s="14" t="s">
        <v>289</v>
      </c>
      <c r="F393" s="66">
        <f t="shared" si="9"/>
        <v>3595.9399999999996</v>
      </c>
      <c r="G393" s="66">
        <f>2235.64+910.3+100+350</f>
        <v>3595.9399999999996</v>
      </c>
      <c r="H393" s="66"/>
      <c r="I393" s="155"/>
    </row>
    <row r="394" spans="1:9" ht="80.25" customHeight="1" hidden="1">
      <c r="A394" s="44" t="s">
        <v>612</v>
      </c>
      <c r="B394" s="14" t="s">
        <v>396</v>
      </c>
      <c r="C394" s="14" t="s">
        <v>155</v>
      </c>
      <c r="D394" s="14" t="s">
        <v>906</v>
      </c>
      <c r="E394" s="61" t="s">
        <v>414</v>
      </c>
      <c r="F394" s="114">
        <f>G394+H394</f>
        <v>0</v>
      </c>
      <c r="G394" s="114">
        <f>G395+G397</f>
        <v>0</v>
      </c>
      <c r="H394" s="114">
        <f>H395</f>
        <v>0</v>
      </c>
      <c r="I394" s="155"/>
    </row>
    <row r="395" spans="1:9" ht="88.5" customHeight="1" hidden="1">
      <c r="A395" s="29" t="s">
        <v>630</v>
      </c>
      <c r="B395" s="14" t="s">
        <v>396</v>
      </c>
      <c r="C395" s="14" t="s">
        <v>155</v>
      </c>
      <c r="D395" s="14" t="s">
        <v>917</v>
      </c>
      <c r="E395" s="14" t="s">
        <v>414</v>
      </c>
      <c r="F395" s="66">
        <f>G395+H395</f>
        <v>0</v>
      </c>
      <c r="G395" s="66">
        <f>G396</f>
        <v>0</v>
      </c>
      <c r="H395" s="66">
        <f>H396</f>
        <v>0</v>
      </c>
      <c r="I395" s="155"/>
    </row>
    <row r="396" spans="1:9" ht="23.25" customHeight="1" hidden="1">
      <c r="A396" s="29" t="s">
        <v>214</v>
      </c>
      <c r="B396" s="14" t="s">
        <v>396</v>
      </c>
      <c r="C396" s="14" t="s">
        <v>155</v>
      </c>
      <c r="D396" s="14" t="s">
        <v>918</v>
      </c>
      <c r="E396" s="14" t="s">
        <v>213</v>
      </c>
      <c r="F396" s="66">
        <f>G396+H396</f>
        <v>0</v>
      </c>
      <c r="G396" s="66">
        <v>0</v>
      </c>
      <c r="H396" s="66">
        <v>0</v>
      </c>
      <c r="I396" s="155"/>
    </row>
    <row r="397" spans="1:9" ht="111.75" customHeight="1" hidden="1">
      <c r="A397" s="29" t="s">
        <v>613</v>
      </c>
      <c r="B397" s="14" t="s">
        <v>396</v>
      </c>
      <c r="C397" s="14" t="s">
        <v>155</v>
      </c>
      <c r="D397" s="14" t="s">
        <v>919</v>
      </c>
      <c r="E397" s="14" t="s">
        <v>213</v>
      </c>
      <c r="F397" s="66">
        <f aca="true" t="shared" si="11" ref="F397:F402">G397</f>
        <v>0</v>
      </c>
      <c r="G397" s="66">
        <f>G398</f>
        <v>0</v>
      </c>
      <c r="H397" s="66">
        <f>H398</f>
        <v>0</v>
      </c>
      <c r="I397" s="155"/>
    </row>
    <row r="398" spans="1:9" ht="24" customHeight="1" hidden="1">
      <c r="A398" s="29" t="s">
        <v>214</v>
      </c>
      <c r="B398" s="14" t="s">
        <v>396</v>
      </c>
      <c r="C398" s="14" t="s">
        <v>155</v>
      </c>
      <c r="D398" s="14" t="s">
        <v>920</v>
      </c>
      <c r="E398" s="14" t="s">
        <v>289</v>
      </c>
      <c r="F398" s="66">
        <f t="shared" si="11"/>
        <v>0</v>
      </c>
      <c r="G398" s="66">
        <v>0</v>
      </c>
      <c r="H398" s="66">
        <v>0</v>
      </c>
      <c r="I398" s="155"/>
    </row>
    <row r="399" spans="1:9" ht="1.5" customHeight="1" hidden="1">
      <c r="A399" s="44" t="s">
        <v>582</v>
      </c>
      <c r="B399" s="14" t="s">
        <v>396</v>
      </c>
      <c r="C399" s="14" t="s">
        <v>155</v>
      </c>
      <c r="D399" s="14" t="s">
        <v>921</v>
      </c>
      <c r="E399" s="61" t="s">
        <v>414</v>
      </c>
      <c r="F399" s="114">
        <f t="shared" si="11"/>
        <v>0</v>
      </c>
      <c r="G399" s="114">
        <f>G400</f>
        <v>0</v>
      </c>
      <c r="H399" s="114"/>
      <c r="I399" s="155"/>
    </row>
    <row r="400" spans="1:9" ht="34.5" customHeight="1" hidden="1">
      <c r="A400" s="29" t="s">
        <v>592</v>
      </c>
      <c r="B400" s="14" t="s">
        <v>396</v>
      </c>
      <c r="C400" s="14" t="s">
        <v>155</v>
      </c>
      <c r="D400" s="14" t="s">
        <v>922</v>
      </c>
      <c r="E400" s="14" t="s">
        <v>414</v>
      </c>
      <c r="F400" s="66">
        <f t="shared" si="11"/>
        <v>0</v>
      </c>
      <c r="G400" s="66">
        <f>G401</f>
        <v>0</v>
      </c>
      <c r="H400" s="66"/>
      <c r="I400" s="155"/>
    </row>
    <row r="401" spans="1:9" ht="47.25" customHeight="1" hidden="1">
      <c r="A401" s="29" t="s">
        <v>212</v>
      </c>
      <c r="B401" s="14" t="s">
        <v>396</v>
      </c>
      <c r="C401" s="14" t="s">
        <v>155</v>
      </c>
      <c r="D401" s="14" t="s">
        <v>923</v>
      </c>
      <c r="E401" s="14" t="s">
        <v>213</v>
      </c>
      <c r="F401" s="66">
        <f t="shared" si="11"/>
        <v>0</v>
      </c>
      <c r="G401" s="66">
        <f>G402</f>
        <v>0</v>
      </c>
      <c r="H401" s="66"/>
      <c r="I401" s="155"/>
    </row>
    <row r="402" spans="1:9" ht="23.25" customHeight="1" hidden="1">
      <c r="A402" s="29" t="s">
        <v>214</v>
      </c>
      <c r="B402" s="14" t="s">
        <v>396</v>
      </c>
      <c r="C402" s="14" t="s">
        <v>155</v>
      </c>
      <c r="D402" s="14" t="s">
        <v>924</v>
      </c>
      <c r="E402" s="14" t="s">
        <v>289</v>
      </c>
      <c r="F402" s="66">
        <f t="shared" si="11"/>
        <v>0</v>
      </c>
      <c r="G402" s="66"/>
      <c r="H402" s="66"/>
      <c r="I402" s="155"/>
    </row>
    <row r="403" spans="1:9" ht="81.75" customHeight="1">
      <c r="A403" s="29" t="s">
        <v>931</v>
      </c>
      <c r="B403" s="14" t="s">
        <v>396</v>
      </c>
      <c r="C403" s="14" t="s">
        <v>155</v>
      </c>
      <c r="D403" s="14" t="s">
        <v>917</v>
      </c>
      <c r="E403" s="14" t="s">
        <v>289</v>
      </c>
      <c r="F403" s="66">
        <f>G403</f>
        <v>297</v>
      </c>
      <c r="G403" s="66">
        <f>220+46+31</f>
        <v>297</v>
      </c>
      <c r="H403" s="66"/>
      <c r="I403" s="155"/>
    </row>
    <row r="404" spans="1:9" ht="50.25" customHeight="1">
      <c r="A404" s="33" t="s">
        <v>480</v>
      </c>
      <c r="B404" s="30" t="s">
        <v>396</v>
      </c>
      <c r="C404" s="30" t="s">
        <v>155</v>
      </c>
      <c r="D404" s="30" t="s">
        <v>952</v>
      </c>
      <c r="E404" s="30" t="s">
        <v>414</v>
      </c>
      <c r="F404" s="67">
        <f>G404+H404</f>
        <v>190.689</v>
      </c>
      <c r="G404" s="67">
        <f>G405</f>
        <v>190.689</v>
      </c>
      <c r="H404" s="67">
        <f>H405</f>
        <v>0</v>
      </c>
      <c r="I404" s="155"/>
    </row>
    <row r="405" spans="1:9" ht="49.5" customHeight="1">
      <c r="A405" s="29" t="s">
        <v>212</v>
      </c>
      <c r="B405" s="14" t="s">
        <v>396</v>
      </c>
      <c r="C405" s="14" t="s">
        <v>155</v>
      </c>
      <c r="D405" s="14" t="s">
        <v>952</v>
      </c>
      <c r="E405" s="14" t="s">
        <v>213</v>
      </c>
      <c r="F405" s="66">
        <f>G405+H405</f>
        <v>190.689</v>
      </c>
      <c r="G405" s="66">
        <f>G406</f>
        <v>190.689</v>
      </c>
      <c r="H405" s="66">
        <f>H406</f>
        <v>0</v>
      </c>
      <c r="I405" s="155"/>
    </row>
    <row r="406" spans="1:9" ht="18.75" customHeight="1">
      <c r="A406" s="29" t="s">
        <v>214</v>
      </c>
      <c r="B406" s="14" t="s">
        <v>396</v>
      </c>
      <c r="C406" s="14" t="s">
        <v>155</v>
      </c>
      <c r="D406" s="14" t="s">
        <v>952</v>
      </c>
      <c r="E406" s="14" t="s">
        <v>289</v>
      </c>
      <c r="F406" s="66">
        <f>G406+H406</f>
        <v>190.689</v>
      </c>
      <c r="G406" s="66">
        <f>25+87.5+78.189</f>
        <v>190.689</v>
      </c>
      <c r="H406" s="66">
        <v>0</v>
      </c>
      <c r="I406" s="155"/>
    </row>
    <row r="407" spans="1:8" s="150" customFormat="1" ht="48.75" customHeight="1">
      <c r="A407" s="33" t="s">
        <v>478</v>
      </c>
      <c r="B407" s="30" t="s">
        <v>396</v>
      </c>
      <c r="C407" s="30" t="s">
        <v>393</v>
      </c>
      <c r="D407" s="30" t="s">
        <v>31</v>
      </c>
      <c r="E407" s="30" t="s">
        <v>414</v>
      </c>
      <c r="F407" s="67">
        <f t="shared" si="9"/>
        <v>50</v>
      </c>
      <c r="G407" s="67">
        <f>G408</f>
        <v>50</v>
      </c>
      <c r="H407" s="67">
        <f>H408</f>
        <v>0</v>
      </c>
    </row>
    <row r="408" spans="1:8" ht="32.25" customHeight="1">
      <c r="A408" s="34" t="s">
        <v>388</v>
      </c>
      <c r="B408" s="14" t="s">
        <v>396</v>
      </c>
      <c r="C408" s="14" t="s">
        <v>393</v>
      </c>
      <c r="D408" s="14" t="s">
        <v>64</v>
      </c>
      <c r="E408" s="14" t="s">
        <v>414</v>
      </c>
      <c r="F408" s="66">
        <f t="shared" si="9"/>
        <v>50</v>
      </c>
      <c r="G408" s="66">
        <f>G409</f>
        <v>50</v>
      </c>
      <c r="H408" s="66">
        <f>H409</f>
        <v>0</v>
      </c>
    </row>
    <row r="409" spans="1:8" ht="32.25" customHeight="1">
      <c r="A409" s="29" t="s">
        <v>258</v>
      </c>
      <c r="B409" s="14" t="s">
        <v>396</v>
      </c>
      <c r="C409" s="14" t="s">
        <v>393</v>
      </c>
      <c r="D409" s="14" t="s">
        <v>65</v>
      </c>
      <c r="E409" s="14" t="s">
        <v>414</v>
      </c>
      <c r="F409" s="66">
        <f t="shared" si="9"/>
        <v>50</v>
      </c>
      <c r="G409" s="66">
        <f>G410</f>
        <v>50</v>
      </c>
      <c r="H409" s="66">
        <f>H411</f>
        <v>0</v>
      </c>
    </row>
    <row r="410" spans="1:8" ht="49.5" customHeight="1">
      <c r="A410" s="29" t="s">
        <v>212</v>
      </c>
      <c r="B410" s="14" t="s">
        <v>396</v>
      </c>
      <c r="C410" s="14" t="s">
        <v>393</v>
      </c>
      <c r="D410" s="14" t="s">
        <v>65</v>
      </c>
      <c r="E410" s="14" t="s">
        <v>213</v>
      </c>
      <c r="F410" s="66">
        <f t="shared" si="9"/>
        <v>50</v>
      </c>
      <c r="G410" s="66">
        <f>G411</f>
        <v>50</v>
      </c>
      <c r="H410" s="66"/>
    </row>
    <row r="411" spans="1:8" ht="20.25" customHeight="1">
      <c r="A411" s="29" t="s">
        <v>214</v>
      </c>
      <c r="B411" s="14" t="s">
        <v>396</v>
      </c>
      <c r="C411" s="14" t="s">
        <v>393</v>
      </c>
      <c r="D411" s="14" t="s">
        <v>65</v>
      </c>
      <c r="E411" s="14" t="s">
        <v>289</v>
      </c>
      <c r="F411" s="66">
        <f t="shared" si="9"/>
        <v>50</v>
      </c>
      <c r="G411" s="66">
        <f>30+20</f>
        <v>50</v>
      </c>
      <c r="H411" s="66"/>
    </row>
    <row r="412" spans="1:8" ht="20.25" customHeight="1">
      <c r="A412" s="33" t="s">
        <v>710</v>
      </c>
      <c r="B412" s="30" t="s">
        <v>396</v>
      </c>
      <c r="C412" s="30" t="s">
        <v>396</v>
      </c>
      <c r="D412" s="30" t="s">
        <v>322</v>
      </c>
      <c r="E412" s="30" t="s">
        <v>414</v>
      </c>
      <c r="F412" s="67">
        <f>G412+H412</f>
        <v>817.13743</v>
      </c>
      <c r="G412" s="67">
        <f>G413</f>
        <v>46.898</v>
      </c>
      <c r="H412" s="67">
        <f>H413</f>
        <v>770.23943</v>
      </c>
    </row>
    <row r="413" spans="1:8" ht="49.5" customHeight="1">
      <c r="A413" s="33" t="s">
        <v>478</v>
      </c>
      <c r="B413" s="30" t="s">
        <v>396</v>
      </c>
      <c r="C413" s="30" t="s">
        <v>396</v>
      </c>
      <c r="D413" s="30" t="s">
        <v>31</v>
      </c>
      <c r="E413" s="30" t="s">
        <v>414</v>
      </c>
      <c r="F413" s="66">
        <f t="shared" si="9"/>
        <v>817.13743</v>
      </c>
      <c r="G413" s="66">
        <f>G414+G420</f>
        <v>46.898</v>
      </c>
      <c r="H413" s="66">
        <f>H414+H420</f>
        <v>770.23943</v>
      </c>
    </row>
    <row r="414" spans="1:8" ht="33.75" customHeight="1">
      <c r="A414" s="34" t="s">
        <v>466</v>
      </c>
      <c r="B414" s="14" t="s">
        <v>396</v>
      </c>
      <c r="C414" s="14" t="s">
        <v>396</v>
      </c>
      <c r="D414" s="14" t="s">
        <v>66</v>
      </c>
      <c r="E414" s="14" t="s">
        <v>414</v>
      </c>
      <c r="F414" s="66">
        <f t="shared" si="9"/>
        <v>817.13743</v>
      </c>
      <c r="G414" s="66">
        <f>G415+G427</f>
        <v>46.898</v>
      </c>
      <c r="H414" s="66">
        <f>H415</f>
        <v>770.23943</v>
      </c>
    </row>
    <row r="415" spans="1:8" s="150" customFormat="1" ht="65.25" customHeight="1">
      <c r="A415" s="33" t="s">
        <v>748</v>
      </c>
      <c r="B415" s="30" t="s">
        <v>396</v>
      </c>
      <c r="C415" s="30" t="s">
        <v>396</v>
      </c>
      <c r="D415" s="30" t="s">
        <v>66</v>
      </c>
      <c r="E415" s="30" t="s">
        <v>414</v>
      </c>
      <c r="F415" s="67">
        <f t="shared" si="9"/>
        <v>770.23943</v>
      </c>
      <c r="G415" s="67"/>
      <c r="H415" s="67">
        <f>H416+H418</f>
        <v>770.23943</v>
      </c>
    </row>
    <row r="416" spans="1:8" ht="33" customHeight="1">
      <c r="A416" s="54" t="s">
        <v>203</v>
      </c>
      <c r="B416" s="14" t="s">
        <v>396</v>
      </c>
      <c r="C416" s="14" t="s">
        <v>396</v>
      </c>
      <c r="D416" s="14" t="s">
        <v>67</v>
      </c>
      <c r="E416" s="14" t="s">
        <v>158</v>
      </c>
      <c r="F416" s="66">
        <f>G416+H416</f>
        <v>0</v>
      </c>
      <c r="G416" s="66"/>
      <c r="H416" s="66">
        <f>H417</f>
        <v>0</v>
      </c>
    </row>
    <row r="417" spans="1:8" ht="33" customHeight="1">
      <c r="A417" s="54" t="s">
        <v>204</v>
      </c>
      <c r="B417" s="14" t="s">
        <v>396</v>
      </c>
      <c r="C417" s="14" t="s">
        <v>396</v>
      </c>
      <c r="D417" s="14" t="s">
        <v>67</v>
      </c>
      <c r="E417" s="14" t="s">
        <v>205</v>
      </c>
      <c r="F417" s="66">
        <f>G417+H417</f>
        <v>0</v>
      </c>
      <c r="G417" s="66"/>
      <c r="H417" s="66"/>
    </row>
    <row r="418" spans="1:8" ht="48.75" customHeight="1">
      <c r="A418" s="54" t="s">
        <v>212</v>
      </c>
      <c r="B418" s="14" t="s">
        <v>396</v>
      </c>
      <c r="C418" s="14" t="s">
        <v>396</v>
      </c>
      <c r="D418" s="14" t="s">
        <v>67</v>
      </c>
      <c r="E418" s="14" t="s">
        <v>213</v>
      </c>
      <c r="F418" s="66">
        <f t="shared" si="9"/>
        <v>770.23943</v>
      </c>
      <c r="G418" s="66"/>
      <c r="H418" s="66">
        <f>H419</f>
        <v>770.23943</v>
      </c>
    </row>
    <row r="419" spans="1:8" ht="17.25" customHeight="1">
      <c r="A419" s="54" t="s">
        <v>214</v>
      </c>
      <c r="B419" s="14" t="s">
        <v>396</v>
      </c>
      <c r="C419" s="14" t="s">
        <v>396</v>
      </c>
      <c r="D419" s="14" t="s">
        <v>67</v>
      </c>
      <c r="E419" s="14" t="s">
        <v>289</v>
      </c>
      <c r="F419" s="66">
        <f t="shared" si="9"/>
        <v>770.23943</v>
      </c>
      <c r="G419" s="66"/>
      <c r="H419" s="66">
        <f>896.82255-300+173.41688</f>
        <v>770.23943</v>
      </c>
    </row>
    <row r="420" spans="1:9" ht="51" customHeight="1" hidden="1">
      <c r="A420" s="44" t="s">
        <v>679</v>
      </c>
      <c r="B420" s="14" t="s">
        <v>396</v>
      </c>
      <c r="C420" s="14" t="s">
        <v>396</v>
      </c>
      <c r="D420" s="61" t="s">
        <v>322</v>
      </c>
      <c r="E420" s="61" t="s">
        <v>414</v>
      </c>
      <c r="F420" s="114">
        <f aca="true" t="shared" si="12" ref="F420:F426">G420+H420</f>
        <v>0</v>
      </c>
      <c r="G420" s="114">
        <f>G424</f>
        <v>0</v>
      </c>
      <c r="H420" s="114">
        <f>H421</f>
        <v>0</v>
      </c>
      <c r="I420" s="155"/>
    </row>
    <row r="421" spans="1:9" ht="82.5" customHeight="1" hidden="1">
      <c r="A421" s="29" t="s">
        <v>691</v>
      </c>
      <c r="B421" s="14" t="s">
        <v>396</v>
      </c>
      <c r="C421" s="14" t="s">
        <v>396</v>
      </c>
      <c r="D421" s="14" t="s">
        <v>700</v>
      </c>
      <c r="E421" s="14" t="s">
        <v>414</v>
      </c>
      <c r="F421" s="66">
        <f t="shared" si="12"/>
        <v>0</v>
      </c>
      <c r="G421" s="66"/>
      <c r="H421" s="66">
        <f>H422</f>
        <v>0</v>
      </c>
      <c r="I421" s="155"/>
    </row>
    <row r="422" spans="1:9" ht="45" customHeight="1" hidden="1">
      <c r="A422" s="29" t="s">
        <v>212</v>
      </c>
      <c r="B422" s="14" t="s">
        <v>396</v>
      </c>
      <c r="C422" s="14" t="s">
        <v>396</v>
      </c>
      <c r="D422" s="14" t="s">
        <v>700</v>
      </c>
      <c r="E422" s="14" t="s">
        <v>213</v>
      </c>
      <c r="F422" s="66">
        <f t="shared" si="12"/>
        <v>0</v>
      </c>
      <c r="G422" s="66"/>
      <c r="H422" s="66">
        <f>H423</f>
        <v>0</v>
      </c>
      <c r="I422" s="155"/>
    </row>
    <row r="423" spans="1:9" ht="23.25" customHeight="1" hidden="1">
      <c r="A423" s="29" t="s">
        <v>214</v>
      </c>
      <c r="B423" s="14" t="s">
        <v>396</v>
      </c>
      <c r="C423" s="14" t="s">
        <v>396</v>
      </c>
      <c r="D423" s="14" t="s">
        <v>700</v>
      </c>
      <c r="E423" s="14" t="s">
        <v>289</v>
      </c>
      <c r="F423" s="66">
        <f t="shared" si="12"/>
        <v>0</v>
      </c>
      <c r="G423" s="66"/>
      <c r="H423" s="66">
        <v>0</v>
      </c>
      <c r="I423" s="155"/>
    </row>
    <row r="424" spans="1:9" ht="93.75" customHeight="1" hidden="1">
      <c r="A424" s="29" t="s">
        <v>692</v>
      </c>
      <c r="B424" s="14" t="s">
        <v>396</v>
      </c>
      <c r="C424" s="14" t="s">
        <v>396</v>
      </c>
      <c r="D424" s="14" t="s">
        <v>751</v>
      </c>
      <c r="E424" s="14" t="s">
        <v>414</v>
      </c>
      <c r="F424" s="66">
        <f t="shared" si="12"/>
        <v>0</v>
      </c>
      <c r="G424" s="66">
        <f>G425</f>
        <v>0</v>
      </c>
      <c r="H424" s="66"/>
      <c r="I424" s="155"/>
    </row>
    <row r="425" spans="1:9" ht="48" customHeight="1" hidden="1">
      <c r="A425" s="29" t="s">
        <v>212</v>
      </c>
      <c r="B425" s="14" t="s">
        <v>396</v>
      </c>
      <c r="C425" s="14" t="s">
        <v>396</v>
      </c>
      <c r="D425" s="14" t="s">
        <v>751</v>
      </c>
      <c r="E425" s="14" t="s">
        <v>213</v>
      </c>
      <c r="F425" s="66">
        <f t="shared" si="12"/>
        <v>0</v>
      </c>
      <c r="G425" s="66">
        <f>G426</f>
        <v>0</v>
      </c>
      <c r="H425" s="66"/>
      <c r="I425" s="155"/>
    </row>
    <row r="426" spans="1:9" ht="23.25" customHeight="1" hidden="1">
      <c r="A426" s="29" t="s">
        <v>214</v>
      </c>
      <c r="B426" s="14" t="s">
        <v>396</v>
      </c>
      <c r="C426" s="14" t="s">
        <v>396</v>
      </c>
      <c r="D426" s="14" t="s">
        <v>751</v>
      </c>
      <c r="E426" s="14" t="s">
        <v>289</v>
      </c>
      <c r="F426" s="66">
        <f t="shared" si="12"/>
        <v>0</v>
      </c>
      <c r="G426" s="66">
        <v>0</v>
      </c>
      <c r="H426" s="66"/>
      <c r="I426" s="155"/>
    </row>
    <row r="427" spans="1:9" ht="66" customHeight="1">
      <c r="A427" s="29" t="s">
        <v>914</v>
      </c>
      <c r="B427" s="14" t="s">
        <v>396</v>
      </c>
      <c r="C427" s="14" t="s">
        <v>396</v>
      </c>
      <c r="D427" s="14" t="s">
        <v>913</v>
      </c>
      <c r="E427" s="14" t="s">
        <v>414</v>
      </c>
      <c r="F427" s="66">
        <f>G427</f>
        <v>46.898</v>
      </c>
      <c r="G427" s="66">
        <f>G428</f>
        <v>46.898</v>
      </c>
      <c r="H427" s="66"/>
      <c r="I427" s="155"/>
    </row>
    <row r="428" spans="1:9" ht="23.25" customHeight="1">
      <c r="A428" s="54" t="s">
        <v>212</v>
      </c>
      <c r="B428" s="14" t="s">
        <v>396</v>
      </c>
      <c r="C428" s="14" t="s">
        <v>396</v>
      </c>
      <c r="D428" s="14" t="s">
        <v>913</v>
      </c>
      <c r="E428" s="14" t="s">
        <v>213</v>
      </c>
      <c r="F428" s="66">
        <f>G428</f>
        <v>46.898</v>
      </c>
      <c r="G428" s="66">
        <f>G429</f>
        <v>46.898</v>
      </c>
      <c r="H428" s="66"/>
      <c r="I428" s="155"/>
    </row>
    <row r="429" spans="1:9" ht="23.25" customHeight="1">
      <c r="A429" s="54" t="s">
        <v>214</v>
      </c>
      <c r="B429" s="14" t="s">
        <v>396</v>
      </c>
      <c r="C429" s="14" t="s">
        <v>396</v>
      </c>
      <c r="D429" s="14" t="s">
        <v>913</v>
      </c>
      <c r="E429" s="14" t="s">
        <v>289</v>
      </c>
      <c r="F429" s="66">
        <f>G429</f>
        <v>46.898</v>
      </c>
      <c r="G429" s="66">
        <v>46.898</v>
      </c>
      <c r="H429" s="66"/>
      <c r="I429" s="155"/>
    </row>
    <row r="430" spans="1:10" s="150" customFormat="1" ht="18" customHeight="1">
      <c r="A430" s="33" t="s">
        <v>371</v>
      </c>
      <c r="B430" s="30" t="s">
        <v>396</v>
      </c>
      <c r="C430" s="30" t="s">
        <v>381</v>
      </c>
      <c r="D430" s="30" t="s">
        <v>322</v>
      </c>
      <c r="E430" s="30" t="s">
        <v>414</v>
      </c>
      <c r="F430" s="67">
        <f t="shared" si="9"/>
        <v>53555.901</v>
      </c>
      <c r="G430" s="67">
        <f>G431+G445+G448+G455+G461+G470+G466</f>
        <v>51673.398</v>
      </c>
      <c r="H430" s="67">
        <f>H448+H455+H470</f>
        <v>1882.5029999999997</v>
      </c>
      <c r="J430" s="156"/>
    </row>
    <row r="431" spans="1:8" ht="33.75" customHeight="1">
      <c r="A431" s="34" t="s">
        <v>264</v>
      </c>
      <c r="B431" s="14" t="s">
        <v>396</v>
      </c>
      <c r="C431" s="14" t="s">
        <v>381</v>
      </c>
      <c r="D431" s="14" t="s">
        <v>68</v>
      </c>
      <c r="E431" s="14" t="s">
        <v>414</v>
      </c>
      <c r="F431" s="66">
        <f t="shared" si="9"/>
        <v>44182.187000000005</v>
      </c>
      <c r="G431" s="66">
        <f>G432+G440</f>
        <v>44182.187000000005</v>
      </c>
      <c r="H431" s="66">
        <f>H432</f>
        <v>0</v>
      </c>
    </row>
    <row r="432" spans="1:8" ht="50.25" customHeight="1">
      <c r="A432" s="29" t="s">
        <v>70</v>
      </c>
      <c r="B432" s="14" t="s">
        <v>396</v>
      </c>
      <c r="C432" s="14" t="s">
        <v>381</v>
      </c>
      <c r="D432" s="14" t="s">
        <v>69</v>
      </c>
      <c r="E432" s="14" t="s">
        <v>414</v>
      </c>
      <c r="F432" s="66">
        <f t="shared" si="9"/>
        <v>41122.73</v>
      </c>
      <c r="G432" s="66">
        <f>G433+G435+G437</f>
        <v>41122.73</v>
      </c>
      <c r="H432" s="66">
        <f>SUM(H433:H439)</f>
        <v>0</v>
      </c>
    </row>
    <row r="433" spans="1:8" ht="95.25" customHeight="1">
      <c r="A433" s="29" t="s">
        <v>186</v>
      </c>
      <c r="B433" s="14" t="s">
        <v>396</v>
      </c>
      <c r="C433" s="14" t="s">
        <v>381</v>
      </c>
      <c r="D433" s="14" t="s">
        <v>69</v>
      </c>
      <c r="E433" s="14" t="s">
        <v>153</v>
      </c>
      <c r="F433" s="66">
        <f t="shared" si="9"/>
        <v>34805.63</v>
      </c>
      <c r="G433" s="66">
        <f>G434</f>
        <v>34805.63</v>
      </c>
      <c r="H433" s="66"/>
    </row>
    <row r="434" spans="1:9" ht="32.25" customHeight="1">
      <c r="A434" s="29" t="s">
        <v>202</v>
      </c>
      <c r="B434" s="14" t="s">
        <v>396</v>
      </c>
      <c r="C434" s="14" t="s">
        <v>381</v>
      </c>
      <c r="D434" s="14" t="s">
        <v>69</v>
      </c>
      <c r="E434" s="14" t="s">
        <v>160</v>
      </c>
      <c r="F434" s="66">
        <f t="shared" si="9"/>
        <v>34805.63</v>
      </c>
      <c r="G434" s="66">
        <f>34785.63+20</f>
        <v>34805.63</v>
      </c>
      <c r="H434" s="117"/>
      <c r="I434" s="151"/>
    </row>
    <row r="435" spans="1:8" ht="33" customHeight="1">
      <c r="A435" s="29" t="s">
        <v>189</v>
      </c>
      <c r="B435" s="14" t="s">
        <v>396</v>
      </c>
      <c r="C435" s="14" t="s">
        <v>381</v>
      </c>
      <c r="D435" s="14" t="s">
        <v>69</v>
      </c>
      <c r="E435" s="14" t="s">
        <v>157</v>
      </c>
      <c r="F435" s="66">
        <f t="shared" si="9"/>
        <v>5978.472000000009</v>
      </c>
      <c r="G435" s="66">
        <f>G436</f>
        <v>5978.472000000009</v>
      </c>
      <c r="H435" s="117"/>
    </row>
    <row r="436" spans="1:9" ht="48.75" customHeight="1">
      <c r="A436" s="54" t="s">
        <v>190</v>
      </c>
      <c r="B436" s="14" t="s">
        <v>396</v>
      </c>
      <c r="C436" s="14" t="s">
        <v>381</v>
      </c>
      <c r="D436" s="14" t="s">
        <v>69</v>
      </c>
      <c r="E436" s="14" t="s">
        <v>191</v>
      </c>
      <c r="F436" s="66">
        <f t="shared" si="9"/>
        <v>5978.472000000009</v>
      </c>
      <c r="G436" s="66">
        <f>40712.73-89.2-34785.63-49.428+210-20</f>
        <v>5978.472000000009</v>
      </c>
      <c r="H436" s="66"/>
      <c r="I436" s="151"/>
    </row>
    <row r="437" spans="1:8" ht="19.5" customHeight="1">
      <c r="A437" s="29" t="s">
        <v>194</v>
      </c>
      <c r="B437" s="14" t="s">
        <v>396</v>
      </c>
      <c r="C437" s="14" t="s">
        <v>381</v>
      </c>
      <c r="D437" s="14" t="s">
        <v>69</v>
      </c>
      <c r="E437" s="14" t="s">
        <v>195</v>
      </c>
      <c r="F437" s="66">
        <f t="shared" si="9"/>
        <v>338.628</v>
      </c>
      <c r="G437" s="66">
        <f>G438+G439</f>
        <v>338.628</v>
      </c>
      <c r="H437" s="66"/>
    </row>
    <row r="438" spans="1:8" ht="19.5" customHeight="1" hidden="1">
      <c r="A438" s="29" t="s">
        <v>198</v>
      </c>
      <c r="B438" s="14" t="s">
        <v>396</v>
      </c>
      <c r="C438" s="14" t="s">
        <v>381</v>
      </c>
      <c r="D438" s="14" t="s">
        <v>69</v>
      </c>
      <c r="E438" s="14" t="s">
        <v>199</v>
      </c>
      <c r="F438" s="66">
        <f>G438</f>
        <v>0</v>
      </c>
      <c r="G438" s="66"/>
      <c r="H438" s="66"/>
    </row>
    <row r="439" spans="1:8" ht="19.5" customHeight="1">
      <c r="A439" s="29" t="s">
        <v>192</v>
      </c>
      <c r="B439" s="14" t="s">
        <v>396</v>
      </c>
      <c r="C439" s="14" t="s">
        <v>381</v>
      </c>
      <c r="D439" s="14" t="s">
        <v>69</v>
      </c>
      <c r="E439" s="14" t="s">
        <v>193</v>
      </c>
      <c r="F439" s="66">
        <f>G439+H439</f>
        <v>338.628</v>
      </c>
      <c r="G439" s="66">
        <f>89.2+200+49.428</f>
        <v>338.628</v>
      </c>
      <c r="H439" s="66"/>
    </row>
    <row r="440" spans="1:8" ht="65.25" customHeight="1">
      <c r="A440" s="34" t="s">
        <v>545</v>
      </c>
      <c r="B440" s="14" t="s">
        <v>396</v>
      </c>
      <c r="C440" s="14" t="s">
        <v>381</v>
      </c>
      <c r="D440" s="14" t="s">
        <v>69</v>
      </c>
      <c r="E440" s="14" t="s">
        <v>414</v>
      </c>
      <c r="F440" s="66">
        <f>G440</f>
        <v>3059.4570000000003</v>
      </c>
      <c r="G440" s="66">
        <f>G441+G443</f>
        <v>3059.4570000000003</v>
      </c>
      <c r="H440" s="154"/>
    </row>
    <row r="441" spans="1:8" ht="93.75" customHeight="1">
      <c r="A441" s="29" t="s">
        <v>186</v>
      </c>
      <c r="B441" s="14" t="s">
        <v>396</v>
      </c>
      <c r="C441" s="14" t="s">
        <v>381</v>
      </c>
      <c r="D441" s="14" t="s">
        <v>69</v>
      </c>
      <c r="E441" s="14" t="s">
        <v>153</v>
      </c>
      <c r="F441" s="66">
        <f>G441</f>
        <v>2969.4570000000003</v>
      </c>
      <c r="G441" s="66">
        <f>G442</f>
        <v>2969.4570000000003</v>
      </c>
      <c r="H441" s="154"/>
    </row>
    <row r="442" spans="1:8" ht="33" customHeight="1">
      <c r="A442" s="29" t="s">
        <v>202</v>
      </c>
      <c r="B442" s="14" t="s">
        <v>396</v>
      </c>
      <c r="C442" s="14" t="s">
        <v>381</v>
      </c>
      <c r="D442" s="14" t="s">
        <v>69</v>
      </c>
      <c r="E442" s="14" t="s">
        <v>160</v>
      </c>
      <c r="F442" s="66">
        <f>G442</f>
        <v>2969.4570000000003</v>
      </c>
      <c r="G442" s="66">
        <f>1630.957+1338.5</f>
        <v>2969.4570000000003</v>
      </c>
      <c r="H442" s="154"/>
    </row>
    <row r="443" spans="1:8" ht="33.75" customHeight="1">
      <c r="A443" s="29" t="s">
        <v>189</v>
      </c>
      <c r="B443" s="14" t="s">
        <v>396</v>
      </c>
      <c r="C443" s="14" t="s">
        <v>381</v>
      </c>
      <c r="D443" s="14" t="s">
        <v>69</v>
      </c>
      <c r="E443" s="14" t="s">
        <v>157</v>
      </c>
      <c r="F443" s="66">
        <f>G443</f>
        <v>90</v>
      </c>
      <c r="G443" s="66">
        <f>G444</f>
        <v>90</v>
      </c>
      <c r="H443" s="154"/>
    </row>
    <row r="444" spans="1:8" ht="47.25" customHeight="1">
      <c r="A444" s="54" t="s">
        <v>190</v>
      </c>
      <c r="B444" s="14" t="s">
        <v>396</v>
      </c>
      <c r="C444" s="14" t="s">
        <v>381</v>
      </c>
      <c r="D444" s="14" t="s">
        <v>69</v>
      </c>
      <c r="E444" s="14" t="s">
        <v>191</v>
      </c>
      <c r="F444" s="66">
        <f>G444</f>
        <v>90</v>
      </c>
      <c r="G444" s="66">
        <f>90</f>
        <v>90</v>
      </c>
      <c r="H444" s="154"/>
    </row>
    <row r="445" spans="1:8" ht="33.75" customHeight="1">
      <c r="A445" s="34" t="s">
        <v>33</v>
      </c>
      <c r="B445" s="14" t="s">
        <v>396</v>
      </c>
      <c r="C445" s="14" t="s">
        <v>381</v>
      </c>
      <c r="D445" s="6" t="s">
        <v>32</v>
      </c>
      <c r="E445" s="14" t="s">
        <v>414</v>
      </c>
      <c r="F445" s="66">
        <f>G445+H445</f>
        <v>111</v>
      </c>
      <c r="G445" s="66">
        <f>G446</f>
        <v>111</v>
      </c>
      <c r="H445" s="118"/>
    </row>
    <row r="446" spans="1:8" ht="33" customHeight="1">
      <c r="A446" s="29" t="s">
        <v>189</v>
      </c>
      <c r="B446" s="14" t="s">
        <v>396</v>
      </c>
      <c r="C446" s="14" t="s">
        <v>381</v>
      </c>
      <c r="D446" s="6" t="s">
        <v>34</v>
      </c>
      <c r="E446" s="14" t="s">
        <v>157</v>
      </c>
      <c r="F446" s="66">
        <f>G446+H446</f>
        <v>111</v>
      </c>
      <c r="G446" s="66">
        <f>G447</f>
        <v>111</v>
      </c>
      <c r="H446" s="66"/>
    </row>
    <row r="447" spans="1:8" ht="51" customHeight="1">
      <c r="A447" s="54" t="s">
        <v>190</v>
      </c>
      <c r="B447" s="14" t="s">
        <v>396</v>
      </c>
      <c r="C447" s="14" t="s">
        <v>381</v>
      </c>
      <c r="D447" s="6" t="s">
        <v>35</v>
      </c>
      <c r="E447" s="14" t="s">
        <v>191</v>
      </c>
      <c r="F447" s="66">
        <f>G447+H447</f>
        <v>111</v>
      </c>
      <c r="G447" s="134">
        <v>111</v>
      </c>
      <c r="H447" s="66"/>
    </row>
    <row r="448" spans="1:8" s="150" customFormat="1" ht="63" customHeight="1">
      <c r="A448" s="33" t="s">
        <v>479</v>
      </c>
      <c r="B448" s="30" t="s">
        <v>396</v>
      </c>
      <c r="C448" s="30" t="s">
        <v>381</v>
      </c>
      <c r="D448" s="30" t="s">
        <v>71</v>
      </c>
      <c r="E448" s="30" t="s">
        <v>414</v>
      </c>
      <c r="F448" s="67">
        <f t="shared" si="9"/>
        <v>598</v>
      </c>
      <c r="G448" s="67">
        <f>G449+G452</f>
        <v>598</v>
      </c>
      <c r="H448" s="67">
        <f>H449</f>
        <v>0</v>
      </c>
    </row>
    <row r="449" spans="1:8" ht="18" customHeight="1">
      <c r="A449" s="29" t="s">
        <v>406</v>
      </c>
      <c r="B449" s="14" t="s">
        <v>396</v>
      </c>
      <c r="C449" s="14" t="s">
        <v>381</v>
      </c>
      <c r="D449" s="14" t="s">
        <v>72</v>
      </c>
      <c r="E449" s="14" t="s">
        <v>414</v>
      </c>
      <c r="F449" s="66">
        <f t="shared" si="9"/>
        <v>380</v>
      </c>
      <c r="G449" s="66">
        <f>G450</f>
        <v>380</v>
      </c>
      <c r="H449" s="66"/>
    </row>
    <row r="450" spans="1:8" ht="37.5" customHeight="1">
      <c r="A450" s="29" t="s">
        <v>189</v>
      </c>
      <c r="B450" s="14" t="s">
        <v>396</v>
      </c>
      <c r="C450" s="14" t="s">
        <v>381</v>
      </c>
      <c r="D450" s="14" t="s">
        <v>73</v>
      </c>
      <c r="E450" s="14" t="s">
        <v>157</v>
      </c>
      <c r="F450" s="66">
        <f t="shared" si="9"/>
        <v>380</v>
      </c>
      <c r="G450" s="66">
        <f>G451</f>
        <v>380</v>
      </c>
      <c r="H450" s="66"/>
    </row>
    <row r="451" spans="1:8" ht="50.25" customHeight="1">
      <c r="A451" s="54" t="s">
        <v>190</v>
      </c>
      <c r="B451" s="14" t="s">
        <v>396</v>
      </c>
      <c r="C451" s="14" t="s">
        <v>381</v>
      </c>
      <c r="D451" s="14" t="s">
        <v>73</v>
      </c>
      <c r="E451" s="14" t="s">
        <v>191</v>
      </c>
      <c r="F451" s="66">
        <f t="shared" si="9"/>
        <v>380</v>
      </c>
      <c r="G451" s="66">
        <f>380</f>
        <v>380</v>
      </c>
      <c r="H451" s="66"/>
    </row>
    <row r="452" spans="1:8" ht="33" customHeight="1">
      <c r="A452" s="29" t="s">
        <v>133</v>
      </c>
      <c r="B452" s="14" t="s">
        <v>396</v>
      </c>
      <c r="C452" s="14" t="s">
        <v>381</v>
      </c>
      <c r="D452" s="14" t="s">
        <v>74</v>
      </c>
      <c r="E452" s="14" t="s">
        <v>414</v>
      </c>
      <c r="F452" s="66">
        <f t="shared" si="9"/>
        <v>218</v>
      </c>
      <c r="G452" s="66">
        <f>G453</f>
        <v>218</v>
      </c>
      <c r="H452" s="66"/>
    </row>
    <row r="453" spans="1:8" ht="49.5" customHeight="1">
      <c r="A453" s="29" t="s">
        <v>212</v>
      </c>
      <c r="B453" s="14" t="s">
        <v>396</v>
      </c>
      <c r="C453" s="14" t="s">
        <v>381</v>
      </c>
      <c r="D453" s="14" t="s">
        <v>74</v>
      </c>
      <c r="E453" s="14" t="s">
        <v>213</v>
      </c>
      <c r="F453" s="66">
        <f t="shared" si="9"/>
        <v>218</v>
      </c>
      <c r="G453" s="66">
        <f>G454</f>
        <v>218</v>
      </c>
      <c r="H453" s="66"/>
    </row>
    <row r="454" spans="1:8" ht="16.5" customHeight="1">
      <c r="A454" s="29" t="s">
        <v>214</v>
      </c>
      <c r="B454" s="14" t="s">
        <v>396</v>
      </c>
      <c r="C454" s="14" t="s">
        <v>381</v>
      </c>
      <c r="D454" s="14" t="s">
        <v>74</v>
      </c>
      <c r="E454" s="14" t="s">
        <v>289</v>
      </c>
      <c r="F454" s="66">
        <f t="shared" si="9"/>
        <v>218</v>
      </c>
      <c r="G454" s="66">
        <f>218</f>
        <v>218</v>
      </c>
      <c r="H454" s="66"/>
    </row>
    <row r="455" spans="1:8" s="150" customFormat="1" ht="64.5" customHeight="1">
      <c r="A455" s="33" t="s">
        <v>492</v>
      </c>
      <c r="B455" s="30" t="s">
        <v>396</v>
      </c>
      <c r="C455" s="30" t="s">
        <v>381</v>
      </c>
      <c r="D455" s="30" t="s">
        <v>38</v>
      </c>
      <c r="E455" s="30" t="s">
        <v>414</v>
      </c>
      <c r="F455" s="67">
        <f t="shared" si="9"/>
        <v>1933.311</v>
      </c>
      <c r="G455" s="67">
        <f>G456</f>
        <v>1933.311</v>
      </c>
      <c r="H455" s="67">
        <f>H456</f>
        <v>0</v>
      </c>
    </row>
    <row r="456" spans="1:8" ht="19.5" customHeight="1">
      <c r="A456" s="29" t="s">
        <v>406</v>
      </c>
      <c r="B456" s="14" t="s">
        <v>396</v>
      </c>
      <c r="C456" s="14" t="s">
        <v>381</v>
      </c>
      <c r="D456" s="14" t="s">
        <v>39</v>
      </c>
      <c r="E456" s="14" t="s">
        <v>414</v>
      </c>
      <c r="F456" s="66">
        <f t="shared" si="9"/>
        <v>1933.311</v>
      </c>
      <c r="G456" s="66">
        <f>G457+G459</f>
        <v>1933.311</v>
      </c>
      <c r="H456" s="66">
        <f>H457</f>
        <v>0</v>
      </c>
    </row>
    <row r="457" spans="1:8" ht="38.25" customHeight="1">
      <c r="A457" s="29" t="s">
        <v>189</v>
      </c>
      <c r="B457" s="14" t="s">
        <v>396</v>
      </c>
      <c r="C457" s="14" t="s">
        <v>381</v>
      </c>
      <c r="D457" s="14" t="s">
        <v>75</v>
      </c>
      <c r="E457" s="14" t="s">
        <v>157</v>
      </c>
      <c r="F457" s="66">
        <f t="shared" si="9"/>
        <v>4</v>
      </c>
      <c r="G457" s="66">
        <f>G458</f>
        <v>4</v>
      </c>
      <c r="H457" s="66"/>
    </row>
    <row r="458" spans="1:8" ht="48.75" customHeight="1">
      <c r="A458" s="54" t="s">
        <v>190</v>
      </c>
      <c r="B458" s="14" t="s">
        <v>396</v>
      </c>
      <c r="C458" s="14" t="s">
        <v>381</v>
      </c>
      <c r="D458" s="14" t="s">
        <v>75</v>
      </c>
      <c r="E458" s="14" t="s">
        <v>191</v>
      </c>
      <c r="F458" s="66">
        <f t="shared" si="9"/>
        <v>4</v>
      </c>
      <c r="G458" s="66">
        <f>134-130</f>
        <v>4</v>
      </c>
      <c r="H458" s="66"/>
    </row>
    <row r="459" spans="1:8" ht="48.75" customHeight="1">
      <c r="A459" s="29" t="s">
        <v>212</v>
      </c>
      <c r="B459" s="14" t="s">
        <v>396</v>
      </c>
      <c r="C459" s="14" t="s">
        <v>381</v>
      </c>
      <c r="D459" s="14" t="s">
        <v>75</v>
      </c>
      <c r="E459" s="14" t="s">
        <v>213</v>
      </c>
      <c r="F459" s="66">
        <f>G459</f>
        <v>1929.311</v>
      </c>
      <c r="G459" s="66">
        <f>G460</f>
        <v>1929.311</v>
      </c>
      <c r="H459" s="66"/>
    </row>
    <row r="460" spans="1:8" ht="20.25" customHeight="1">
      <c r="A460" s="29" t="s">
        <v>214</v>
      </c>
      <c r="B460" s="14" t="s">
        <v>396</v>
      </c>
      <c r="C460" s="14" t="s">
        <v>381</v>
      </c>
      <c r="D460" s="14" t="s">
        <v>75</v>
      </c>
      <c r="E460" s="14" t="s">
        <v>289</v>
      </c>
      <c r="F460" s="66">
        <f>G460</f>
        <v>1929.311</v>
      </c>
      <c r="G460" s="66">
        <f>120+2000-112.5-78.189</f>
        <v>1929.311</v>
      </c>
      <c r="H460" s="66"/>
    </row>
    <row r="461" spans="1:8" ht="78" customHeight="1">
      <c r="A461" s="48" t="s">
        <v>533</v>
      </c>
      <c r="B461" s="30" t="s">
        <v>396</v>
      </c>
      <c r="C461" s="30" t="s">
        <v>381</v>
      </c>
      <c r="D461" s="30" t="s">
        <v>531</v>
      </c>
      <c r="E461" s="30" t="s">
        <v>414</v>
      </c>
      <c r="F461" s="67">
        <f aca="true" t="shared" si="13" ref="F461:F469">G461</f>
        <v>1103.2</v>
      </c>
      <c r="G461" s="67">
        <f>G462+G464</f>
        <v>1103.2</v>
      </c>
      <c r="H461" s="67"/>
    </row>
    <row r="462" spans="1:8" ht="39" customHeight="1">
      <c r="A462" s="29" t="s">
        <v>189</v>
      </c>
      <c r="B462" s="14" t="s">
        <v>396</v>
      </c>
      <c r="C462" s="14" t="s">
        <v>381</v>
      </c>
      <c r="D462" s="14" t="s">
        <v>910</v>
      </c>
      <c r="E462" s="14" t="s">
        <v>157</v>
      </c>
      <c r="F462" s="66">
        <f>G462</f>
        <v>158</v>
      </c>
      <c r="G462" s="66">
        <f>G463</f>
        <v>158</v>
      </c>
      <c r="H462" s="66"/>
    </row>
    <row r="463" spans="1:8" ht="53.25" customHeight="1">
      <c r="A463" s="54" t="s">
        <v>190</v>
      </c>
      <c r="B463" s="14" t="s">
        <v>396</v>
      </c>
      <c r="C463" s="14" t="s">
        <v>381</v>
      </c>
      <c r="D463" s="14" t="s">
        <v>910</v>
      </c>
      <c r="E463" s="14" t="s">
        <v>191</v>
      </c>
      <c r="F463" s="66">
        <f>G463</f>
        <v>158</v>
      </c>
      <c r="G463" s="66">
        <v>158</v>
      </c>
      <c r="H463" s="66"/>
    </row>
    <row r="464" spans="1:8" ht="46.5" customHeight="1">
      <c r="A464" s="29" t="s">
        <v>212</v>
      </c>
      <c r="B464" s="14" t="s">
        <v>396</v>
      </c>
      <c r="C464" s="14" t="s">
        <v>381</v>
      </c>
      <c r="D464" s="14" t="s">
        <v>532</v>
      </c>
      <c r="E464" s="14" t="s">
        <v>213</v>
      </c>
      <c r="F464" s="66">
        <f t="shared" si="13"/>
        <v>945.2</v>
      </c>
      <c r="G464" s="66">
        <f>G465</f>
        <v>945.2</v>
      </c>
      <c r="H464" s="66"/>
    </row>
    <row r="465" spans="1:8" ht="18" customHeight="1">
      <c r="A465" s="29" t="s">
        <v>214</v>
      </c>
      <c r="B465" s="14" t="s">
        <v>396</v>
      </c>
      <c r="C465" s="14" t="s">
        <v>381</v>
      </c>
      <c r="D465" s="14" t="s">
        <v>532</v>
      </c>
      <c r="E465" s="14" t="s">
        <v>289</v>
      </c>
      <c r="F465" s="66">
        <f t="shared" si="13"/>
        <v>945.2</v>
      </c>
      <c r="G465" s="66">
        <f>1215-61.8-50-158</f>
        <v>945.2</v>
      </c>
      <c r="H465" s="66"/>
    </row>
    <row r="466" spans="1:8" ht="51" customHeight="1" hidden="1">
      <c r="A466" s="48" t="s">
        <v>440</v>
      </c>
      <c r="B466" s="30" t="s">
        <v>396</v>
      </c>
      <c r="C466" s="30" t="s">
        <v>381</v>
      </c>
      <c r="D466" s="30" t="s">
        <v>41</v>
      </c>
      <c r="E466" s="30" t="s">
        <v>414</v>
      </c>
      <c r="F466" s="67">
        <f t="shared" si="13"/>
        <v>0</v>
      </c>
      <c r="G466" s="67">
        <f>G467</f>
        <v>0</v>
      </c>
      <c r="H466" s="67"/>
    </row>
    <row r="467" spans="1:8" ht="36.75" customHeight="1" hidden="1">
      <c r="A467" s="54" t="s">
        <v>189</v>
      </c>
      <c r="B467" s="14" t="s">
        <v>396</v>
      </c>
      <c r="C467" s="14" t="s">
        <v>381</v>
      </c>
      <c r="D467" s="14" t="s">
        <v>503</v>
      </c>
      <c r="E467" s="14" t="s">
        <v>157</v>
      </c>
      <c r="F467" s="66">
        <f t="shared" si="13"/>
        <v>0</v>
      </c>
      <c r="G467" s="66">
        <f>G468+G469</f>
        <v>0</v>
      </c>
      <c r="H467" s="66"/>
    </row>
    <row r="468" spans="1:8" ht="64.5" customHeight="1" hidden="1">
      <c r="A468" s="54" t="s">
        <v>614</v>
      </c>
      <c r="B468" s="14" t="s">
        <v>396</v>
      </c>
      <c r="C468" s="14" t="s">
        <v>381</v>
      </c>
      <c r="D468" s="14" t="s">
        <v>535</v>
      </c>
      <c r="E468" s="14" t="s">
        <v>191</v>
      </c>
      <c r="F468" s="66">
        <f t="shared" si="13"/>
        <v>0</v>
      </c>
      <c r="G468" s="66">
        <v>0</v>
      </c>
      <c r="H468" s="66"/>
    </row>
    <row r="469" spans="1:8" ht="48" customHeight="1" hidden="1">
      <c r="A469" s="54" t="s">
        <v>615</v>
      </c>
      <c r="B469" s="14" t="s">
        <v>396</v>
      </c>
      <c r="C469" s="14" t="s">
        <v>381</v>
      </c>
      <c r="D469" s="14" t="s">
        <v>536</v>
      </c>
      <c r="E469" s="14" t="s">
        <v>191</v>
      </c>
      <c r="F469" s="66">
        <f t="shared" si="13"/>
        <v>0</v>
      </c>
      <c r="G469" s="66">
        <v>0</v>
      </c>
      <c r="H469" s="66"/>
    </row>
    <row r="470" spans="1:8" ht="36" customHeight="1">
      <c r="A470" s="29" t="s">
        <v>151</v>
      </c>
      <c r="B470" s="14" t="s">
        <v>396</v>
      </c>
      <c r="C470" s="14" t="s">
        <v>381</v>
      </c>
      <c r="D470" s="14" t="s">
        <v>10</v>
      </c>
      <c r="E470" s="14" t="s">
        <v>414</v>
      </c>
      <c r="F470" s="66">
        <f t="shared" si="9"/>
        <v>5628.2029999999995</v>
      </c>
      <c r="G470" s="66">
        <f>G471+G477</f>
        <v>3745.7</v>
      </c>
      <c r="H470" s="66">
        <f>H471</f>
        <v>1882.5029999999997</v>
      </c>
    </row>
    <row r="471" spans="1:8" ht="45.75" customHeight="1">
      <c r="A471" s="29" t="s">
        <v>152</v>
      </c>
      <c r="B471" s="14" t="s">
        <v>396</v>
      </c>
      <c r="C471" s="14" t="s">
        <v>381</v>
      </c>
      <c r="D471" s="14" t="s">
        <v>11</v>
      </c>
      <c r="E471" s="14" t="s">
        <v>414</v>
      </c>
      <c r="F471" s="66">
        <f t="shared" si="9"/>
        <v>5340.7029999999995</v>
      </c>
      <c r="G471" s="66">
        <f>G472</f>
        <v>3458.2</v>
      </c>
      <c r="H471" s="66">
        <f>H472+H480</f>
        <v>1882.5029999999997</v>
      </c>
    </row>
    <row r="472" spans="1:10" ht="51" customHeight="1">
      <c r="A472" s="29" t="s">
        <v>156</v>
      </c>
      <c r="B472" s="14" t="s">
        <v>396</v>
      </c>
      <c r="C472" s="14" t="s">
        <v>381</v>
      </c>
      <c r="D472" s="14" t="s">
        <v>14</v>
      </c>
      <c r="E472" s="14" t="s">
        <v>414</v>
      </c>
      <c r="F472" s="66">
        <f t="shared" si="9"/>
        <v>3458.2</v>
      </c>
      <c r="G472" s="66">
        <f>G473+G475</f>
        <v>3458.2</v>
      </c>
      <c r="H472" s="66">
        <f>SUM(H473:H476)</f>
        <v>0</v>
      </c>
      <c r="J472" s="151"/>
    </row>
    <row r="473" spans="1:8" ht="95.25" customHeight="1">
      <c r="A473" s="29" t="s">
        <v>186</v>
      </c>
      <c r="B473" s="14" t="s">
        <v>396</v>
      </c>
      <c r="C473" s="14" t="s">
        <v>381</v>
      </c>
      <c r="D473" s="14" t="s">
        <v>14</v>
      </c>
      <c r="E473" s="14" t="s">
        <v>153</v>
      </c>
      <c r="F473" s="66">
        <f t="shared" si="9"/>
        <v>3313.2</v>
      </c>
      <c r="G473" s="66">
        <f>G474</f>
        <v>3313.2</v>
      </c>
      <c r="H473" s="66"/>
    </row>
    <row r="474" spans="1:8" ht="35.25" customHeight="1">
      <c r="A474" s="29" t="s">
        <v>188</v>
      </c>
      <c r="B474" s="14" t="s">
        <v>396</v>
      </c>
      <c r="C474" s="14" t="s">
        <v>381</v>
      </c>
      <c r="D474" s="14" t="s">
        <v>14</v>
      </c>
      <c r="E474" s="14" t="s">
        <v>187</v>
      </c>
      <c r="F474" s="66">
        <f t="shared" si="9"/>
        <v>3313.2</v>
      </c>
      <c r="G474" s="134">
        <f>2510.9+44+758.3</f>
        <v>3313.2</v>
      </c>
      <c r="H474" s="66"/>
    </row>
    <row r="475" spans="1:8" ht="34.5" customHeight="1">
      <c r="A475" s="29" t="s">
        <v>189</v>
      </c>
      <c r="B475" s="14" t="s">
        <v>396</v>
      </c>
      <c r="C475" s="14" t="s">
        <v>381</v>
      </c>
      <c r="D475" s="14" t="s">
        <v>14</v>
      </c>
      <c r="E475" s="14" t="s">
        <v>157</v>
      </c>
      <c r="F475" s="66">
        <f t="shared" si="9"/>
        <v>145</v>
      </c>
      <c r="G475" s="66">
        <f>G476</f>
        <v>145</v>
      </c>
      <c r="H475" s="66"/>
    </row>
    <row r="476" spans="1:8" ht="46.5" customHeight="1">
      <c r="A476" s="54" t="s">
        <v>190</v>
      </c>
      <c r="B476" s="14" t="s">
        <v>396</v>
      </c>
      <c r="C476" s="14" t="s">
        <v>381</v>
      </c>
      <c r="D476" s="14" t="s">
        <v>14</v>
      </c>
      <c r="E476" s="14" t="s">
        <v>191</v>
      </c>
      <c r="F476" s="66">
        <f t="shared" si="9"/>
        <v>145</v>
      </c>
      <c r="G476" s="134">
        <v>145</v>
      </c>
      <c r="H476" s="66"/>
    </row>
    <row r="477" spans="1:8" ht="18.75" customHeight="1">
      <c r="A477" s="54" t="s">
        <v>907</v>
      </c>
      <c r="B477" s="14" t="s">
        <v>396</v>
      </c>
      <c r="C477" s="14" t="s">
        <v>381</v>
      </c>
      <c r="D477" s="14" t="s">
        <v>908</v>
      </c>
      <c r="E477" s="14" t="s">
        <v>414</v>
      </c>
      <c r="F477" s="66">
        <f>G477</f>
        <v>287.5</v>
      </c>
      <c r="G477" s="134">
        <f>G478</f>
        <v>287.5</v>
      </c>
      <c r="H477" s="66"/>
    </row>
    <row r="478" spans="1:8" ht="36" customHeight="1">
      <c r="A478" s="29" t="s">
        <v>189</v>
      </c>
      <c r="B478" s="14" t="s">
        <v>396</v>
      </c>
      <c r="C478" s="14" t="s">
        <v>381</v>
      </c>
      <c r="D478" s="14" t="s">
        <v>908</v>
      </c>
      <c r="E478" s="14" t="s">
        <v>157</v>
      </c>
      <c r="F478" s="66">
        <f>G478</f>
        <v>287.5</v>
      </c>
      <c r="G478" s="134">
        <f>G479</f>
        <v>287.5</v>
      </c>
      <c r="H478" s="66"/>
    </row>
    <row r="479" spans="1:8" ht="46.5" customHeight="1">
      <c r="A479" s="54" t="s">
        <v>190</v>
      </c>
      <c r="B479" s="14" t="s">
        <v>396</v>
      </c>
      <c r="C479" s="14" t="s">
        <v>381</v>
      </c>
      <c r="D479" s="14" t="s">
        <v>908</v>
      </c>
      <c r="E479" s="14" t="s">
        <v>191</v>
      </c>
      <c r="F479" s="66">
        <f>G479</f>
        <v>287.5</v>
      </c>
      <c r="G479" s="134">
        <v>287.5</v>
      </c>
      <c r="H479" s="66"/>
    </row>
    <row r="480" spans="1:10" s="166" customFormat="1" ht="81.75" customHeight="1">
      <c r="A480" s="63" t="s">
        <v>695</v>
      </c>
      <c r="B480" s="21" t="s">
        <v>396</v>
      </c>
      <c r="C480" s="21" t="s">
        <v>381</v>
      </c>
      <c r="D480" s="21" t="s">
        <v>703</v>
      </c>
      <c r="E480" s="21" t="s">
        <v>414</v>
      </c>
      <c r="F480" s="117">
        <f aca="true" t="shared" si="14" ref="F480:F485">G480+H480</f>
        <v>1882.5029999999997</v>
      </c>
      <c r="G480" s="117">
        <v>0</v>
      </c>
      <c r="H480" s="117">
        <f>H481+H483</f>
        <v>1882.5029999999997</v>
      </c>
      <c r="J480" s="169"/>
    </row>
    <row r="481" spans="1:8" ht="97.5" customHeight="1">
      <c r="A481" s="29" t="s">
        <v>186</v>
      </c>
      <c r="B481" s="14" t="s">
        <v>396</v>
      </c>
      <c r="C481" s="14" t="s">
        <v>381</v>
      </c>
      <c r="D481" s="14" t="s">
        <v>703</v>
      </c>
      <c r="E481" s="14" t="s">
        <v>153</v>
      </c>
      <c r="F481" s="66">
        <f t="shared" si="14"/>
        <v>1328.5539999999999</v>
      </c>
      <c r="G481" s="66"/>
      <c r="H481" s="66">
        <f>H482</f>
        <v>1328.5539999999999</v>
      </c>
    </row>
    <row r="482" spans="1:8" ht="31.5" customHeight="1">
      <c r="A482" s="54" t="s">
        <v>188</v>
      </c>
      <c r="B482" s="14" t="s">
        <v>396</v>
      </c>
      <c r="C482" s="14" t="s">
        <v>381</v>
      </c>
      <c r="D482" s="14" t="s">
        <v>703</v>
      </c>
      <c r="E482" s="14" t="s">
        <v>187</v>
      </c>
      <c r="F482" s="66">
        <f t="shared" si="14"/>
        <v>1328.5539999999999</v>
      </c>
      <c r="G482" s="66"/>
      <c r="H482" s="66">
        <f>1311.899+16.655</f>
        <v>1328.5539999999999</v>
      </c>
    </row>
    <row r="483" spans="1:8" ht="35.25" customHeight="1">
      <c r="A483" s="29" t="s">
        <v>189</v>
      </c>
      <c r="B483" s="14" t="s">
        <v>396</v>
      </c>
      <c r="C483" s="14" t="s">
        <v>381</v>
      </c>
      <c r="D483" s="14" t="s">
        <v>703</v>
      </c>
      <c r="E483" s="14" t="s">
        <v>157</v>
      </c>
      <c r="F483" s="66">
        <f t="shared" si="14"/>
        <v>553.949</v>
      </c>
      <c r="G483" s="66"/>
      <c r="H483" s="66">
        <f>H484</f>
        <v>553.949</v>
      </c>
    </row>
    <row r="484" spans="1:8" ht="48" customHeight="1">
      <c r="A484" s="54" t="s">
        <v>190</v>
      </c>
      <c r="B484" s="14" t="s">
        <v>396</v>
      </c>
      <c r="C484" s="14" t="s">
        <v>381</v>
      </c>
      <c r="D484" s="14" t="s">
        <v>703</v>
      </c>
      <c r="E484" s="14" t="s">
        <v>191</v>
      </c>
      <c r="F484" s="66">
        <f t="shared" si="14"/>
        <v>553.949</v>
      </c>
      <c r="G484" s="66"/>
      <c r="H484" s="66">
        <v>553.949</v>
      </c>
    </row>
    <row r="485" spans="1:10" s="166" customFormat="1" ht="16.5" customHeight="1">
      <c r="A485" s="64" t="s">
        <v>185</v>
      </c>
      <c r="B485" s="21" t="s">
        <v>384</v>
      </c>
      <c r="C485" s="21" t="s">
        <v>149</v>
      </c>
      <c r="D485" s="21" t="s">
        <v>322</v>
      </c>
      <c r="E485" s="21" t="s">
        <v>414</v>
      </c>
      <c r="F485" s="117">
        <f t="shared" si="14"/>
        <v>16779.96968</v>
      </c>
      <c r="G485" s="117">
        <f>G486+G515</f>
        <v>14549.796789999999</v>
      </c>
      <c r="H485" s="117">
        <f>H486+H515</f>
        <v>2230.17289</v>
      </c>
      <c r="I485" s="187"/>
      <c r="J485" s="169"/>
    </row>
    <row r="486" spans="1:11" s="150" customFormat="1" ht="18" customHeight="1">
      <c r="A486" s="33" t="s">
        <v>451</v>
      </c>
      <c r="B486" s="30" t="s">
        <v>384</v>
      </c>
      <c r="C486" s="30" t="s">
        <v>148</v>
      </c>
      <c r="D486" s="30" t="s">
        <v>322</v>
      </c>
      <c r="E486" s="30" t="s">
        <v>414</v>
      </c>
      <c r="F486" s="67">
        <f t="shared" si="9"/>
        <v>15488.839479999999</v>
      </c>
      <c r="G486" s="67">
        <f>G487</f>
        <v>13458.666589999999</v>
      </c>
      <c r="H486" s="67">
        <f>H487</f>
        <v>2030.17289</v>
      </c>
      <c r="K486" s="156"/>
    </row>
    <row r="487" spans="1:10" s="150" customFormat="1" ht="49.5" customHeight="1">
      <c r="A487" s="33" t="s">
        <v>482</v>
      </c>
      <c r="B487" s="30" t="s">
        <v>384</v>
      </c>
      <c r="C487" s="30" t="s">
        <v>148</v>
      </c>
      <c r="D487" s="30" t="s">
        <v>76</v>
      </c>
      <c r="E487" s="30" t="s">
        <v>414</v>
      </c>
      <c r="F487" s="67">
        <f t="shared" si="9"/>
        <v>15488.839479999999</v>
      </c>
      <c r="G487" s="67">
        <f>G488+G495+G502+G505+G512+G493</f>
        <v>13458.666589999999</v>
      </c>
      <c r="H487" s="67">
        <f>H495+H505</f>
        <v>2030.17289</v>
      </c>
      <c r="I487" s="156"/>
      <c r="J487" s="184"/>
    </row>
    <row r="488" spans="1:11" ht="69.75" customHeight="1">
      <c r="A488" s="34" t="s">
        <v>541</v>
      </c>
      <c r="B488" s="14" t="s">
        <v>384</v>
      </c>
      <c r="C488" s="14" t="s">
        <v>148</v>
      </c>
      <c r="D488" s="14" t="s">
        <v>77</v>
      </c>
      <c r="E488" s="14" t="s">
        <v>414</v>
      </c>
      <c r="F488" s="66">
        <f t="shared" si="9"/>
        <v>9525.5898</v>
      </c>
      <c r="G488" s="66">
        <f>G489+G491</f>
        <v>9525.5898</v>
      </c>
      <c r="H488" s="66"/>
      <c r="K488" s="157"/>
    </row>
    <row r="489" spans="1:8" ht="50.25" customHeight="1">
      <c r="A489" s="29" t="s">
        <v>212</v>
      </c>
      <c r="B489" s="14" t="s">
        <v>384</v>
      </c>
      <c r="C489" s="14" t="s">
        <v>148</v>
      </c>
      <c r="D489" s="14" t="s">
        <v>78</v>
      </c>
      <c r="E489" s="14" t="s">
        <v>213</v>
      </c>
      <c r="F489" s="66">
        <f t="shared" si="9"/>
        <v>7905.5898</v>
      </c>
      <c r="G489" s="66">
        <f>G490</f>
        <v>7905.5898</v>
      </c>
      <c r="H489" s="66"/>
    </row>
    <row r="490" spans="1:8" ht="18" customHeight="1">
      <c r="A490" s="29" t="s">
        <v>214</v>
      </c>
      <c r="B490" s="14" t="s">
        <v>384</v>
      </c>
      <c r="C490" s="14" t="s">
        <v>148</v>
      </c>
      <c r="D490" s="14" t="s">
        <v>79</v>
      </c>
      <c r="E490" s="14" t="s">
        <v>289</v>
      </c>
      <c r="F490" s="66">
        <f t="shared" si="9"/>
        <v>7905.5898</v>
      </c>
      <c r="G490" s="66">
        <f>5802.65+100+72.86+25+150-0.0202+1755.1</f>
        <v>7905.5898</v>
      </c>
      <c r="H490" s="66"/>
    </row>
    <row r="491" spans="1:8" ht="112.5" customHeight="1">
      <c r="A491" s="29" t="s">
        <v>98</v>
      </c>
      <c r="B491" s="14" t="s">
        <v>384</v>
      </c>
      <c r="C491" s="14" t="s">
        <v>148</v>
      </c>
      <c r="D491" s="14" t="s">
        <v>97</v>
      </c>
      <c r="E491" s="14" t="s">
        <v>289</v>
      </c>
      <c r="F491" s="66">
        <f t="shared" si="9"/>
        <v>1620</v>
      </c>
      <c r="G491" s="66">
        <f>G492</f>
        <v>1620</v>
      </c>
      <c r="H491" s="66"/>
    </row>
    <row r="492" spans="1:8" ht="18" customHeight="1">
      <c r="A492" s="29" t="s">
        <v>214</v>
      </c>
      <c r="B492" s="14" t="s">
        <v>384</v>
      </c>
      <c r="C492" s="14" t="s">
        <v>148</v>
      </c>
      <c r="D492" s="14" t="s">
        <v>97</v>
      </c>
      <c r="E492" s="14" t="s">
        <v>289</v>
      </c>
      <c r="F492" s="66">
        <f>G492+H492</f>
        <v>1620</v>
      </c>
      <c r="G492" s="66">
        <f>1101.5+518.5</f>
        <v>1620</v>
      </c>
      <c r="H492" s="66"/>
    </row>
    <row r="493" spans="1:8" ht="102.75" customHeight="1" hidden="1">
      <c r="A493" s="29" t="s">
        <v>790</v>
      </c>
      <c r="B493" s="14" t="s">
        <v>384</v>
      </c>
      <c r="C493" s="14" t="s">
        <v>148</v>
      </c>
      <c r="D493" s="14" t="s">
        <v>818</v>
      </c>
      <c r="E493" s="14" t="s">
        <v>414</v>
      </c>
      <c r="F493" s="66">
        <f>G493</f>
        <v>0</v>
      </c>
      <c r="G493" s="66">
        <f>G494</f>
        <v>0</v>
      </c>
      <c r="H493" s="66"/>
    </row>
    <row r="494" spans="1:8" ht="21" customHeight="1" hidden="1">
      <c r="A494" s="29" t="s">
        <v>214</v>
      </c>
      <c r="B494" s="14" t="s">
        <v>384</v>
      </c>
      <c r="C494" s="14" t="s">
        <v>148</v>
      </c>
      <c r="D494" s="14" t="s">
        <v>818</v>
      </c>
      <c r="E494" s="14" t="s">
        <v>289</v>
      </c>
      <c r="F494" s="66">
        <f>G494</f>
        <v>0</v>
      </c>
      <c r="G494" s="66">
        <f>25-25</f>
        <v>0</v>
      </c>
      <c r="H494" s="66"/>
    </row>
    <row r="495" spans="1:8" ht="77.25" customHeight="1">
      <c r="A495" s="64" t="s">
        <v>593</v>
      </c>
      <c r="B495" s="21" t="s">
        <v>384</v>
      </c>
      <c r="C495" s="21" t="s">
        <v>148</v>
      </c>
      <c r="D495" s="21" t="s">
        <v>77</v>
      </c>
      <c r="E495" s="21" t="s">
        <v>414</v>
      </c>
      <c r="F495" s="117">
        <f>G495+H495</f>
        <v>1821.94949</v>
      </c>
      <c r="G495" s="117">
        <f>G496+G499</f>
        <v>18.21949</v>
      </c>
      <c r="H495" s="117">
        <f>H496</f>
        <v>1803.73</v>
      </c>
    </row>
    <row r="496" spans="1:8" ht="79.5" customHeight="1">
      <c r="A496" s="33" t="s">
        <v>594</v>
      </c>
      <c r="B496" s="30" t="s">
        <v>384</v>
      </c>
      <c r="C496" s="30" t="s">
        <v>148</v>
      </c>
      <c r="D496" s="30" t="s">
        <v>595</v>
      </c>
      <c r="E496" s="30" t="s">
        <v>414</v>
      </c>
      <c r="F496" s="67">
        <f>G496+H496</f>
        <v>1803.73</v>
      </c>
      <c r="G496" s="67">
        <f>G497</f>
        <v>0</v>
      </c>
      <c r="H496" s="67">
        <f>H497</f>
        <v>1803.73</v>
      </c>
    </row>
    <row r="497" spans="1:8" ht="48.75" customHeight="1">
      <c r="A497" s="29" t="s">
        <v>212</v>
      </c>
      <c r="B497" s="14" t="s">
        <v>384</v>
      </c>
      <c r="C497" s="14" t="s">
        <v>148</v>
      </c>
      <c r="D497" s="14" t="s">
        <v>595</v>
      </c>
      <c r="E497" s="14" t="s">
        <v>213</v>
      </c>
      <c r="F497" s="66">
        <f>G497+H497</f>
        <v>1803.73</v>
      </c>
      <c r="G497" s="66">
        <f>G498</f>
        <v>0</v>
      </c>
      <c r="H497" s="66">
        <f>H498</f>
        <v>1803.73</v>
      </c>
    </row>
    <row r="498" spans="1:8" ht="20.25" customHeight="1">
      <c r="A498" s="29" t="s">
        <v>214</v>
      </c>
      <c r="B498" s="14" t="s">
        <v>384</v>
      </c>
      <c r="C498" s="14" t="s">
        <v>148</v>
      </c>
      <c r="D498" s="14" t="s">
        <v>595</v>
      </c>
      <c r="E498" s="14" t="s">
        <v>289</v>
      </c>
      <c r="F498" s="66">
        <f>G498+H498</f>
        <v>1803.73</v>
      </c>
      <c r="G498" s="66"/>
      <c r="H498" s="66">
        <v>1803.73</v>
      </c>
    </row>
    <row r="499" spans="1:8" ht="128.25" customHeight="1">
      <c r="A499" s="33" t="s">
        <v>616</v>
      </c>
      <c r="B499" s="30" t="s">
        <v>384</v>
      </c>
      <c r="C499" s="30" t="s">
        <v>148</v>
      </c>
      <c r="D499" s="30" t="s">
        <v>596</v>
      </c>
      <c r="E499" s="30" t="s">
        <v>414</v>
      </c>
      <c r="F499" s="67">
        <f>G499</f>
        <v>18.21949</v>
      </c>
      <c r="G499" s="67">
        <f>G500</f>
        <v>18.21949</v>
      </c>
      <c r="H499" s="67"/>
    </row>
    <row r="500" spans="1:8" ht="51.75" customHeight="1">
      <c r="A500" s="29" t="s">
        <v>212</v>
      </c>
      <c r="B500" s="14" t="s">
        <v>384</v>
      </c>
      <c r="C500" s="14" t="s">
        <v>148</v>
      </c>
      <c r="D500" s="14" t="s">
        <v>596</v>
      </c>
      <c r="E500" s="14" t="s">
        <v>213</v>
      </c>
      <c r="F500" s="66">
        <f>G500</f>
        <v>18.21949</v>
      </c>
      <c r="G500" s="66">
        <f>G501</f>
        <v>18.21949</v>
      </c>
      <c r="H500" s="66"/>
    </row>
    <row r="501" spans="1:8" ht="23.25" customHeight="1">
      <c r="A501" s="29" t="s">
        <v>214</v>
      </c>
      <c r="B501" s="14" t="s">
        <v>384</v>
      </c>
      <c r="C501" s="14" t="s">
        <v>148</v>
      </c>
      <c r="D501" s="14" t="s">
        <v>596</v>
      </c>
      <c r="E501" s="14" t="s">
        <v>289</v>
      </c>
      <c r="F501" s="66">
        <f>G501</f>
        <v>18.21949</v>
      </c>
      <c r="G501" s="66">
        <f>18.21949+2-2</f>
        <v>18.21949</v>
      </c>
      <c r="H501" s="66"/>
    </row>
    <row r="502" spans="1:8" ht="72.75" customHeight="1">
      <c r="A502" s="34" t="s">
        <v>542</v>
      </c>
      <c r="B502" s="14" t="s">
        <v>384</v>
      </c>
      <c r="C502" s="14" t="s">
        <v>148</v>
      </c>
      <c r="D502" s="14" t="s">
        <v>80</v>
      </c>
      <c r="E502" s="14" t="s">
        <v>414</v>
      </c>
      <c r="F502" s="66">
        <f>G502+H502</f>
        <v>2488.2400000000002</v>
      </c>
      <c r="G502" s="66">
        <f>G503</f>
        <v>2488.2400000000002</v>
      </c>
      <c r="H502" s="66"/>
    </row>
    <row r="503" spans="1:8" ht="48" customHeight="1">
      <c r="A503" s="29" t="s">
        <v>212</v>
      </c>
      <c r="B503" s="14" t="s">
        <v>384</v>
      </c>
      <c r="C503" s="14" t="s">
        <v>148</v>
      </c>
      <c r="D503" s="14" t="s">
        <v>80</v>
      </c>
      <c r="E503" s="14" t="s">
        <v>213</v>
      </c>
      <c r="F503" s="66">
        <f>G503+H503</f>
        <v>2488.2400000000002</v>
      </c>
      <c r="G503" s="66">
        <f>G504</f>
        <v>2488.2400000000002</v>
      </c>
      <c r="H503" s="66"/>
    </row>
    <row r="504" spans="1:8" ht="18" customHeight="1">
      <c r="A504" s="29" t="s">
        <v>214</v>
      </c>
      <c r="B504" s="14" t="s">
        <v>384</v>
      </c>
      <c r="C504" s="14" t="s">
        <v>148</v>
      </c>
      <c r="D504" s="14" t="s">
        <v>80</v>
      </c>
      <c r="E504" s="14" t="s">
        <v>289</v>
      </c>
      <c r="F504" s="66">
        <f>G504+H504</f>
        <v>2488.2400000000002</v>
      </c>
      <c r="G504" s="66">
        <f>1566.14+610.1+67+245</f>
        <v>2488.2400000000002</v>
      </c>
      <c r="H504" s="66"/>
    </row>
    <row r="505" spans="1:8" ht="66.75" customHeight="1">
      <c r="A505" s="64" t="s">
        <v>597</v>
      </c>
      <c r="B505" s="21" t="s">
        <v>384</v>
      </c>
      <c r="C505" s="21" t="s">
        <v>148</v>
      </c>
      <c r="D505" s="21" t="s">
        <v>598</v>
      </c>
      <c r="E505" s="21" t="s">
        <v>414</v>
      </c>
      <c r="F505" s="117">
        <f>G505+H505</f>
        <v>228.73019</v>
      </c>
      <c r="G505" s="117">
        <f>G509</f>
        <v>2.2873</v>
      </c>
      <c r="H505" s="117">
        <f>H506</f>
        <v>226.44289</v>
      </c>
    </row>
    <row r="506" spans="1:8" ht="75" customHeight="1">
      <c r="A506" s="33" t="s">
        <v>617</v>
      </c>
      <c r="B506" s="30" t="s">
        <v>384</v>
      </c>
      <c r="C506" s="30" t="s">
        <v>148</v>
      </c>
      <c r="D506" s="30" t="s">
        <v>599</v>
      </c>
      <c r="E506" s="30" t="s">
        <v>414</v>
      </c>
      <c r="F506" s="67">
        <f>H506</f>
        <v>226.44289</v>
      </c>
      <c r="G506" s="67"/>
      <c r="H506" s="67">
        <f>H507</f>
        <v>226.44289</v>
      </c>
    </row>
    <row r="507" spans="1:8" ht="48.75" customHeight="1">
      <c r="A507" s="29" t="s">
        <v>212</v>
      </c>
      <c r="B507" s="14" t="s">
        <v>384</v>
      </c>
      <c r="C507" s="14" t="s">
        <v>148</v>
      </c>
      <c r="D507" s="14" t="s">
        <v>599</v>
      </c>
      <c r="E507" s="14" t="s">
        <v>213</v>
      </c>
      <c r="F507" s="66">
        <f>H507</f>
        <v>226.44289</v>
      </c>
      <c r="G507" s="66"/>
      <c r="H507" s="66">
        <f>H508</f>
        <v>226.44289</v>
      </c>
    </row>
    <row r="508" spans="1:8" ht="24.75" customHeight="1">
      <c r="A508" s="29" t="s">
        <v>214</v>
      </c>
      <c r="B508" s="14" t="s">
        <v>384</v>
      </c>
      <c r="C508" s="14" t="s">
        <v>148</v>
      </c>
      <c r="D508" s="14" t="s">
        <v>599</v>
      </c>
      <c r="E508" s="14" t="s">
        <v>289</v>
      </c>
      <c r="F508" s="66">
        <f>H508</f>
        <v>226.44289</v>
      </c>
      <c r="G508" s="66"/>
      <c r="H508" s="66">
        <v>226.44289</v>
      </c>
    </row>
    <row r="509" spans="1:12" ht="108" customHeight="1">
      <c r="A509" s="33" t="s">
        <v>618</v>
      </c>
      <c r="B509" s="30" t="s">
        <v>384</v>
      </c>
      <c r="C509" s="30" t="s">
        <v>148</v>
      </c>
      <c r="D509" s="30" t="s">
        <v>600</v>
      </c>
      <c r="E509" s="30" t="s">
        <v>414</v>
      </c>
      <c r="F509" s="67">
        <f>G509</f>
        <v>2.2873</v>
      </c>
      <c r="G509" s="67">
        <f>G510</f>
        <v>2.2873</v>
      </c>
      <c r="H509" s="67"/>
      <c r="L509" s="285"/>
    </row>
    <row r="510" spans="1:9" ht="48.75" customHeight="1">
      <c r="A510" s="29" t="s">
        <v>212</v>
      </c>
      <c r="B510" s="14" t="s">
        <v>384</v>
      </c>
      <c r="C510" s="14" t="s">
        <v>148</v>
      </c>
      <c r="D510" s="14" t="s">
        <v>600</v>
      </c>
      <c r="E510" s="14" t="s">
        <v>213</v>
      </c>
      <c r="F510" s="66">
        <f>G510</f>
        <v>2.2873</v>
      </c>
      <c r="G510" s="66">
        <f>G511</f>
        <v>2.2873</v>
      </c>
      <c r="H510" s="66"/>
      <c r="I510" s="158"/>
    </row>
    <row r="511" spans="1:9" ht="23.25" customHeight="1">
      <c r="A511" s="29" t="s">
        <v>214</v>
      </c>
      <c r="B511" s="14" t="s">
        <v>384</v>
      </c>
      <c r="C511" s="14" t="s">
        <v>148</v>
      </c>
      <c r="D511" s="14" t="s">
        <v>600</v>
      </c>
      <c r="E511" s="14" t="s">
        <v>289</v>
      </c>
      <c r="F511" s="66">
        <f>G511</f>
        <v>2.2873</v>
      </c>
      <c r="G511" s="66">
        <v>2.2873</v>
      </c>
      <c r="H511" s="66"/>
      <c r="I511" s="151"/>
    </row>
    <row r="512" spans="1:8" ht="99" customHeight="1">
      <c r="A512" s="34" t="s">
        <v>543</v>
      </c>
      <c r="B512" s="14" t="s">
        <v>384</v>
      </c>
      <c r="C512" s="14" t="s">
        <v>148</v>
      </c>
      <c r="D512" s="14" t="s">
        <v>81</v>
      </c>
      <c r="E512" s="14" t="s">
        <v>414</v>
      </c>
      <c r="F512" s="66">
        <f>G512+H512</f>
        <v>1424.3300000000002</v>
      </c>
      <c r="G512" s="66">
        <f>G513</f>
        <v>1424.3300000000002</v>
      </c>
      <c r="H512" s="66"/>
    </row>
    <row r="513" spans="1:8" ht="48.75" customHeight="1">
      <c r="A513" s="29" t="s">
        <v>212</v>
      </c>
      <c r="B513" s="14" t="s">
        <v>384</v>
      </c>
      <c r="C513" s="14" t="s">
        <v>148</v>
      </c>
      <c r="D513" s="14" t="s">
        <v>81</v>
      </c>
      <c r="E513" s="14" t="s">
        <v>213</v>
      </c>
      <c r="F513" s="66">
        <f>G513+H513</f>
        <v>1424.3300000000002</v>
      </c>
      <c r="G513" s="66">
        <f>G514</f>
        <v>1424.3300000000002</v>
      </c>
      <c r="H513" s="66"/>
    </row>
    <row r="514" spans="1:8" ht="16.5" customHeight="1">
      <c r="A514" s="29" t="s">
        <v>214</v>
      </c>
      <c r="B514" s="14" t="s">
        <v>384</v>
      </c>
      <c r="C514" s="14" t="s">
        <v>148</v>
      </c>
      <c r="D514" s="14" t="s">
        <v>81</v>
      </c>
      <c r="E514" s="14" t="s">
        <v>289</v>
      </c>
      <c r="F514" s="66">
        <f>G514+H514</f>
        <v>1424.3300000000002</v>
      </c>
      <c r="G514" s="66">
        <f>1181.43+25+217.9</f>
        <v>1424.3300000000002</v>
      </c>
      <c r="H514" s="66"/>
    </row>
    <row r="515" spans="1:10" ht="32.25" customHeight="1">
      <c r="A515" s="29" t="s">
        <v>5</v>
      </c>
      <c r="B515" s="14" t="s">
        <v>384</v>
      </c>
      <c r="C515" s="14" t="s">
        <v>159</v>
      </c>
      <c r="D515" s="14" t="s">
        <v>322</v>
      </c>
      <c r="E515" s="14" t="s">
        <v>414</v>
      </c>
      <c r="F515" s="66">
        <f>G515+H515</f>
        <v>1291.1302</v>
      </c>
      <c r="G515" s="66">
        <f>G516+G527+G530+G535+G538</f>
        <v>1091.1302</v>
      </c>
      <c r="H515" s="66">
        <f>H516+H527+H530+H535+H538</f>
        <v>200</v>
      </c>
      <c r="J515" s="157"/>
    </row>
    <row r="516" spans="1:10" ht="50.25" customHeight="1">
      <c r="A516" s="33" t="s">
        <v>482</v>
      </c>
      <c r="B516" s="30" t="s">
        <v>384</v>
      </c>
      <c r="C516" s="30" t="s">
        <v>159</v>
      </c>
      <c r="D516" s="30" t="s">
        <v>76</v>
      </c>
      <c r="E516" s="30" t="s">
        <v>414</v>
      </c>
      <c r="F516" s="67">
        <f>G516</f>
        <v>1019.9302</v>
      </c>
      <c r="G516" s="67">
        <f>G517+G520</f>
        <v>1019.9302</v>
      </c>
      <c r="H516" s="67">
        <f>H517+H520</f>
        <v>200</v>
      </c>
      <c r="J516" s="157"/>
    </row>
    <row r="517" spans="1:8" ht="37.5" customHeight="1">
      <c r="A517" s="34" t="s">
        <v>544</v>
      </c>
      <c r="B517" s="14" t="s">
        <v>384</v>
      </c>
      <c r="C517" s="14" t="s">
        <v>159</v>
      </c>
      <c r="D517" s="14" t="s">
        <v>82</v>
      </c>
      <c r="E517" s="14" t="s">
        <v>414</v>
      </c>
      <c r="F517" s="66">
        <f aca="true" t="shared" si="15" ref="F517:F537">G517+H517</f>
        <v>1017.91</v>
      </c>
      <c r="G517" s="66">
        <f>G518</f>
        <v>1017.91</v>
      </c>
      <c r="H517" s="66"/>
    </row>
    <row r="518" spans="1:8" ht="50.25" customHeight="1">
      <c r="A518" s="29" t="s">
        <v>212</v>
      </c>
      <c r="B518" s="14" t="s">
        <v>384</v>
      </c>
      <c r="C518" s="14" t="s">
        <v>159</v>
      </c>
      <c r="D518" s="14" t="s">
        <v>82</v>
      </c>
      <c r="E518" s="14" t="s">
        <v>213</v>
      </c>
      <c r="F518" s="66">
        <f t="shared" si="15"/>
        <v>1017.91</v>
      </c>
      <c r="G518" s="66">
        <f>G519</f>
        <v>1017.91</v>
      </c>
      <c r="H518" s="66"/>
    </row>
    <row r="519" spans="1:9" ht="17.25" customHeight="1">
      <c r="A519" s="29" t="s">
        <v>214</v>
      </c>
      <c r="B519" s="14" t="s">
        <v>384</v>
      </c>
      <c r="C519" s="14" t="s">
        <v>159</v>
      </c>
      <c r="D519" s="14" t="s">
        <v>82</v>
      </c>
      <c r="E519" s="14" t="s">
        <v>289</v>
      </c>
      <c r="F519" s="66">
        <f t="shared" si="15"/>
        <v>1017.91</v>
      </c>
      <c r="G519" s="66">
        <f>897.91+20+100</f>
        <v>1017.91</v>
      </c>
      <c r="H519" s="66"/>
      <c r="I519" s="157"/>
    </row>
    <row r="520" spans="1:9" ht="51" customHeight="1">
      <c r="A520" s="64" t="s">
        <v>936</v>
      </c>
      <c r="B520" s="21" t="s">
        <v>384</v>
      </c>
      <c r="C520" s="21" t="s">
        <v>159</v>
      </c>
      <c r="D520" s="21" t="s">
        <v>77</v>
      </c>
      <c r="E520" s="21" t="s">
        <v>414</v>
      </c>
      <c r="F520" s="117">
        <f>G520+H520</f>
        <v>202.0202</v>
      </c>
      <c r="G520" s="117">
        <f>G524</f>
        <v>2.0202</v>
      </c>
      <c r="H520" s="117">
        <f>H521</f>
        <v>200</v>
      </c>
      <c r="I520" s="157"/>
    </row>
    <row r="521" spans="1:9" ht="66" customHeight="1">
      <c r="A521" s="29" t="s">
        <v>937</v>
      </c>
      <c r="B521" s="14" t="s">
        <v>384</v>
      </c>
      <c r="C521" s="14" t="s">
        <v>159</v>
      </c>
      <c r="D521" s="14" t="s">
        <v>939</v>
      </c>
      <c r="E521" s="14" t="s">
        <v>414</v>
      </c>
      <c r="F521" s="66">
        <f aca="true" t="shared" si="16" ref="F521:F526">G521+H521</f>
        <v>200</v>
      </c>
      <c r="G521" s="66"/>
      <c r="H521" s="66">
        <f>H522</f>
        <v>200</v>
      </c>
      <c r="I521" s="157"/>
    </row>
    <row r="522" spans="1:9" ht="48.75" customHeight="1">
      <c r="A522" s="29" t="s">
        <v>212</v>
      </c>
      <c r="B522" s="14" t="s">
        <v>384</v>
      </c>
      <c r="C522" s="14" t="s">
        <v>159</v>
      </c>
      <c r="D522" s="14" t="s">
        <v>939</v>
      </c>
      <c r="E522" s="14" t="s">
        <v>213</v>
      </c>
      <c r="F522" s="66">
        <f t="shared" si="16"/>
        <v>200</v>
      </c>
      <c r="G522" s="66"/>
      <c r="H522" s="66">
        <f>H523</f>
        <v>200</v>
      </c>
      <c r="I522" s="157"/>
    </row>
    <row r="523" spans="1:9" ht="22.5" customHeight="1">
      <c r="A523" s="29" t="s">
        <v>214</v>
      </c>
      <c r="B523" s="14" t="s">
        <v>384</v>
      </c>
      <c r="C523" s="14" t="s">
        <v>159</v>
      </c>
      <c r="D523" s="14" t="s">
        <v>939</v>
      </c>
      <c r="E523" s="14" t="s">
        <v>289</v>
      </c>
      <c r="F523" s="66">
        <f t="shared" si="16"/>
        <v>200</v>
      </c>
      <c r="G523" s="66"/>
      <c r="H523" s="66">
        <v>200</v>
      </c>
      <c r="I523" s="157"/>
    </row>
    <row r="524" spans="1:9" ht="84" customHeight="1">
      <c r="A524" s="29" t="s">
        <v>938</v>
      </c>
      <c r="B524" s="14" t="s">
        <v>384</v>
      </c>
      <c r="C524" s="14" t="s">
        <v>159</v>
      </c>
      <c r="D524" s="14" t="s">
        <v>940</v>
      </c>
      <c r="E524" s="14" t="s">
        <v>414</v>
      </c>
      <c r="F524" s="66">
        <f t="shared" si="16"/>
        <v>2.0202</v>
      </c>
      <c r="G524" s="66">
        <f>G525</f>
        <v>2.0202</v>
      </c>
      <c r="H524" s="66"/>
      <c r="I524" s="157"/>
    </row>
    <row r="525" spans="1:9" ht="51" customHeight="1">
      <c r="A525" s="29" t="s">
        <v>212</v>
      </c>
      <c r="B525" s="14" t="s">
        <v>384</v>
      </c>
      <c r="C525" s="14" t="s">
        <v>159</v>
      </c>
      <c r="D525" s="14" t="s">
        <v>940</v>
      </c>
      <c r="E525" s="14" t="s">
        <v>213</v>
      </c>
      <c r="F525" s="66">
        <f t="shared" si="16"/>
        <v>2.0202</v>
      </c>
      <c r="G525" s="66">
        <f>G526</f>
        <v>2.0202</v>
      </c>
      <c r="H525" s="66"/>
      <c r="I525" s="157"/>
    </row>
    <row r="526" spans="1:9" ht="18.75" customHeight="1">
      <c r="A526" s="29" t="s">
        <v>214</v>
      </c>
      <c r="B526" s="14" t="s">
        <v>384</v>
      </c>
      <c r="C526" s="14" t="s">
        <v>159</v>
      </c>
      <c r="D526" s="14" t="s">
        <v>940</v>
      </c>
      <c r="E526" s="14" t="s">
        <v>289</v>
      </c>
      <c r="F526" s="66">
        <f t="shared" si="16"/>
        <v>2.0202</v>
      </c>
      <c r="G526" s="66">
        <v>2.0202</v>
      </c>
      <c r="H526" s="66"/>
      <c r="I526" s="157"/>
    </row>
    <row r="527" spans="1:8" s="150" customFormat="1" ht="48" customHeight="1">
      <c r="A527" s="33" t="s">
        <v>477</v>
      </c>
      <c r="B527" s="30" t="s">
        <v>384</v>
      </c>
      <c r="C527" s="30" t="s">
        <v>159</v>
      </c>
      <c r="D527" s="30" t="s">
        <v>31</v>
      </c>
      <c r="E527" s="30" t="s">
        <v>414</v>
      </c>
      <c r="F527" s="67">
        <f t="shared" si="15"/>
        <v>39</v>
      </c>
      <c r="G527" s="67">
        <f>G528</f>
        <v>39</v>
      </c>
      <c r="H527" s="67">
        <f>H528</f>
        <v>0</v>
      </c>
    </row>
    <row r="528" spans="1:8" ht="33.75" customHeight="1">
      <c r="A528" s="34" t="s">
        <v>83</v>
      </c>
      <c r="B528" s="14" t="s">
        <v>384</v>
      </c>
      <c r="C528" s="14" t="s">
        <v>159</v>
      </c>
      <c r="D528" s="14" t="s">
        <v>32</v>
      </c>
      <c r="E528" s="14" t="s">
        <v>414</v>
      </c>
      <c r="F528" s="66">
        <f t="shared" si="15"/>
        <v>39</v>
      </c>
      <c r="G528" s="66">
        <f>G529</f>
        <v>39</v>
      </c>
      <c r="H528" s="66">
        <f>H529</f>
        <v>0</v>
      </c>
    </row>
    <row r="529" spans="1:8" ht="17.25" customHeight="1">
      <c r="A529" s="29" t="s">
        <v>214</v>
      </c>
      <c r="B529" s="14" t="s">
        <v>384</v>
      </c>
      <c r="C529" s="14" t="s">
        <v>159</v>
      </c>
      <c r="D529" s="14" t="s">
        <v>84</v>
      </c>
      <c r="E529" s="14" t="s">
        <v>289</v>
      </c>
      <c r="F529" s="66">
        <f t="shared" si="15"/>
        <v>39</v>
      </c>
      <c r="G529" s="66">
        <v>39</v>
      </c>
      <c r="H529" s="66"/>
    </row>
    <row r="530" spans="1:8" s="150" customFormat="1" ht="64.5" customHeight="1">
      <c r="A530" s="33" t="s">
        <v>479</v>
      </c>
      <c r="B530" s="30" t="s">
        <v>384</v>
      </c>
      <c r="C530" s="30" t="s">
        <v>159</v>
      </c>
      <c r="D530" s="30" t="s">
        <v>71</v>
      </c>
      <c r="E530" s="30" t="s">
        <v>414</v>
      </c>
      <c r="F530" s="67">
        <f t="shared" si="15"/>
        <v>2</v>
      </c>
      <c r="G530" s="67">
        <f>G531</f>
        <v>2</v>
      </c>
      <c r="H530" s="67">
        <f>H531</f>
        <v>0</v>
      </c>
    </row>
    <row r="531" spans="1:8" s="166" customFormat="1" ht="33.75" customHeight="1">
      <c r="A531" s="29" t="s">
        <v>342</v>
      </c>
      <c r="B531" s="14" t="s">
        <v>384</v>
      </c>
      <c r="C531" s="14" t="s">
        <v>159</v>
      </c>
      <c r="D531" s="14" t="s">
        <v>85</v>
      </c>
      <c r="E531" s="14" t="s">
        <v>289</v>
      </c>
      <c r="F531" s="66">
        <f t="shared" si="15"/>
        <v>2</v>
      </c>
      <c r="G531" s="66">
        <v>2</v>
      </c>
      <c r="H531" s="117"/>
    </row>
    <row r="532" spans="1:8" s="166" customFormat="1" ht="48" customHeight="1" hidden="1">
      <c r="A532" s="48" t="s">
        <v>441</v>
      </c>
      <c r="B532" s="30" t="s">
        <v>384</v>
      </c>
      <c r="C532" s="30" t="s">
        <v>159</v>
      </c>
      <c r="D532" s="30" t="s">
        <v>41</v>
      </c>
      <c r="E532" s="30" t="s">
        <v>414</v>
      </c>
      <c r="F532" s="67">
        <f t="shared" si="15"/>
        <v>0</v>
      </c>
      <c r="G532" s="67">
        <f>G533</f>
        <v>0</v>
      </c>
      <c r="H532" s="67">
        <f>H534</f>
        <v>0</v>
      </c>
    </row>
    <row r="533" spans="1:8" ht="35.25" customHeight="1" hidden="1">
      <c r="A533" s="29" t="s">
        <v>342</v>
      </c>
      <c r="B533" s="14" t="s">
        <v>384</v>
      </c>
      <c r="C533" s="14" t="s">
        <v>159</v>
      </c>
      <c r="D533" s="14" t="s">
        <v>504</v>
      </c>
      <c r="E533" s="14" t="s">
        <v>289</v>
      </c>
      <c r="F533" s="67">
        <f t="shared" si="15"/>
        <v>0</v>
      </c>
      <c r="G533" s="66"/>
      <c r="H533" s="154"/>
    </row>
    <row r="534" spans="1:8" ht="35.25" customHeight="1" hidden="1">
      <c r="A534" s="29" t="s">
        <v>512</v>
      </c>
      <c r="B534" s="14" t="s">
        <v>384</v>
      </c>
      <c r="C534" s="14" t="s">
        <v>159</v>
      </c>
      <c r="D534" s="14" t="s">
        <v>504</v>
      </c>
      <c r="E534" s="14" t="s">
        <v>289</v>
      </c>
      <c r="F534" s="66">
        <f t="shared" si="15"/>
        <v>0</v>
      </c>
      <c r="G534" s="66">
        <v>0</v>
      </c>
      <c r="H534" s="115"/>
    </row>
    <row r="535" spans="1:8" ht="81" customHeight="1">
      <c r="A535" s="33" t="s">
        <v>533</v>
      </c>
      <c r="B535" s="30" t="s">
        <v>384</v>
      </c>
      <c r="C535" s="30" t="s">
        <v>159</v>
      </c>
      <c r="D535" s="30" t="s">
        <v>531</v>
      </c>
      <c r="E535" s="30" t="s">
        <v>414</v>
      </c>
      <c r="F535" s="67">
        <f t="shared" si="15"/>
        <v>30.2</v>
      </c>
      <c r="G535" s="67">
        <f>G536</f>
        <v>30.2</v>
      </c>
      <c r="H535" s="139"/>
    </row>
    <row r="536" spans="1:8" ht="49.5" customHeight="1">
      <c r="A536" s="29" t="s">
        <v>212</v>
      </c>
      <c r="B536" s="14" t="s">
        <v>384</v>
      </c>
      <c r="C536" s="14" t="s">
        <v>159</v>
      </c>
      <c r="D536" s="14" t="s">
        <v>900</v>
      </c>
      <c r="E536" s="14" t="s">
        <v>213</v>
      </c>
      <c r="F536" s="66">
        <f t="shared" si="15"/>
        <v>30.2</v>
      </c>
      <c r="G536" s="66">
        <f>G537</f>
        <v>30.2</v>
      </c>
      <c r="H536" s="115"/>
    </row>
    <row r="537" spans="1:8" ht="27" customHeight="1">
      <c r="A537" s="29" t="s">
        <v>214</v>
      </c>
      <c r="B537" s="14" t="s">
        <v>384</v>
      </c>
      <c r="C537" s="14" t="s">
        <v>159</v>
      </c>
      <c r="D537" s="14" t="s">
        <v>900</v>
      </c>
      <c r="E537" s="14" t="s">
        <v>289</v>
      </c>
      <c r="F537" s="66">
        <f t="shared" si="15"/>
        <v>30.2</v>
      </c>
      <c r="G537" s="66">
        <v>30.2</v>
      </c>
      <c r="H537" s="115"/>
    </row>
    <row r="538" spans="1:9" ht="51" customHeight="1" hidden="1">
      <c r="A538" s="33" t="s">
        <v>482</v>
      </c>
      <c r="B538" s="30" t="s">
        <v>384</v>
      </c>
      <c r="C538" s="30" t="s">
        <v>159</v>
      </c>
      <c r="D538" s="30" t="s">
        <v>76</v>
      </c>
      <c r="E538" s="30" t="s">
        <v>414</v>
      </c>
      <c r="F538" s="67">
        <f aca="true" t="shared" si="17" ref="F538:F543">G538</f>
        <v>0</v>
      </c>
      <c r="G538" s="67">
        <f>G539</f>
        <v>0</v>
      </c>
      <c r="H538" s="154"/>
      <c r="I538" s="155"/>
    </row>
    <row r="539" spans="1:8" ht="71.25" customHeight="1" hidden="1">
      <c r="A539" s="34" t="s">
        <v>545</v>
      </c>
      <c r="B539" s="14" t="s">
        <v>384</v>
      </c>
      <c r="C539" s="14" t="s">
        <v>159</v>
      </c>
      <c r="D539" s="14" t="s">
        <v>507</v>
      </c>
      <c r="E539" s="14" t="s">
        <v>414</v>
      </c>
      <c r="F539" s="66">
        <f t="shared" si="17"/>
        <v>0</v>
      </c>
      <c r="G539" s="66">
        <f>G540+G542</f>
        <v>0</v>
      </c>
      <c r="H539" s="154"/>
    </row>
    <row r="540" spans="1:8" ht="44.25" customHeight="1" hidden="1">
      <c r="A540" s="29" t="s">
        <v>186</v>
      </c>
      <c r="B540" s="14" t="s">
        <v>384</v>
      </c>
      <c r="C540" s="14" t="s">
        <v>159</v>
      </c>
      <c r="D540" s="14" t="s">
        <v>507</v>
      </c>
      <c r="E540" s="14" t="s">
        <v>153</v>
      </c>
      <c r="F540" s="66">
        <f t="shared" si="17"/>
        <v>0</v>
      </c>
      <c r="G540" s="66">
        <f>G541</f>
        <v>0</v>
      </c>
      <c r="H540" s="154"/>
    </row>
    <row r="541" spans="1:8" ht="33" customHeight="1" hidden="1">
      <c r="A541" s="29" t="s">
        <v>202</v>
      </c>
      <c r="B541" s="14" t="s">
        <v>384</v>
      </c>
      <c r="C541" s="14" t="s">
        <v>159</v>
      </c>
      <c r="D541" s="14" t="s">
        <v>507</v>
      </c>
      <c r="E541" s="14" t="s">
        <v>160</v>
      </c>
      <c r="F541" s="66">
        <f t="shared" si="17"/>
        <v>0</v>
      </c>
      <c r="G541" s="66">
        <v>0</v>
      </c>
      <c r="H541" s="154"/>
    </row>
    <row r="542" spans="1:8" ht="39.75" customHeight="1" hidden="1">
      <c r="A542" s="29" t="s">
        <v>189</v>
      </c>
      <c r="B542" s="14" t="s">
        <v>384</v>
      </c>
      <c r="C542" s="14" t="s">
        <v>159</v>
      </c>
      <c r="D542" s="14" t="s">
        <v>507</v>
      </c>
      <c r="E542" s="14" t="s">
        <v>157</v>
      </c>
      <c r="F542" s="66">
        <f t="shared" si="17"/>
        <v>0</v>
      </c>
      <c r="G542" s="66">
        <f>G543</f>
        <v>0</v>
      </c>
      <c r="H542" s="154"/>
    </row>
    <row r="543" spans="1:8" ht="47.25" customHeight="1" hidden="1">
      <c r="A543" s="54" t="s">
        <v>190</v>
      </c>
      <c r="B543" s="14" t="s">
        <v>384</v>
      </c>
      <c r="C543" s="14" t="s">
        <v>159</v>
      </c>
      <c r="D543" s="14" t="s">
        <v>507</v>
      </c>
      <c r="E543" s="14" t="s">
        <v>191</v>
      </c>
      <c r="F543" s="66">
        <f t="shared" si="17"/>
        <v>0</v>
      </c>
      <c r="G543" s="66">
        <v>0</v>
      </c>
      <c r="H543" s="154"/>
    </row>
    <row r="544" spans="1:11" ht="18.75" customHeight="1">
      <c r="A544" s="64" t="s">
        <v>230</v>
      </c>
      <c r="B544" s="21" t="s">
        <v>231</v>
      </c>
      <c r="C544" s="21" t="s">
        <v>148</v>
      </c>
      <c r="D544" s="21" t="s">
        <v>322</v>
      </c>
      <c r="E544" s="21" t="s">
        <v>414</v>
      </c>
      <c r="F544" s="117">
        <f aca="true" t="shared" si="18" ref="F544:F550">G544+H544</f>
        <v>42748.23281999999</v>
      </c>
      <c r="G544" s="117">
        <f>G545+G550+G562</f>
        <v>967.6</v>
      </c>
      <c r="H544" s="117">
        <f>H545+H550+H562</f>
        <v>41780.63281999999</v>
      </c>
      <c r="I544" s="151"/>
      <c r="K544" s="155"/>
    </row>
    <row r="545" spans="1:8" s="150" customFormat="1" ht="17.25" customHeight="1">
      <c r="A545" s="44" t="s">
        <v>142</v>
      </c>
      <c r="B545" s="61" t="s">
        <v>231</v>
      </c>
      <c r="C545" s="61" t="s">
        <v>148</v>
      </c>
      <c r="D545" s="61" t="s">
        <v>322</v>
      </c>
      <c r="E545" s="61" t="s">
        <v>414</v>
      </c>
      <c r="F545" s="114">
        <f t="shared" si="18"/>
        <v>767.6</v>
      </c>
      <c r="G545" s="114">
        <f>G546</f>
        <v>767.6</v>
      </c>
      <c r="H545" s="114">
        <f>H546</f>
        <v>0</v>
      </c>
    </row>
    <row r="546" spans="1:9" ht="33" customHeight="1">
      <c r="A546" s="29" t="s">
        <v>601</v>
      </c>
      <c r="B546" s="14" t="s">
        <v>231</v>
      </c>
      <c r="C546" s="14" t="s">
        <v>148</v>
      </c>
      <c r="D546" s="14" t="s">
        <v>86</v>
      </c>
      <c r="E546" s="14" t="s">
        <v>414</v>
      </c>
      <c r="F546" s="66">
        <f t="shared" si="18"/>
        <v>767.6</v>
      </c>
      <c r="G546" s="66">
        <f>G547</f>
        <v>767.6</v>
      </c>
      <c r="H546" s="66">
        <f>H547</f>
        <v>0</v>
      </c>
      <c r="I546" s="151"/>
    </row>
    <row r="547" spans="1:8" ht="50.25" customHeight="1">
      <c r="A547" s="29" t="s">
        <v>143</v>
      </c>
      <c r="B547" s="14" t="s">
        <v>231</v>
      </c>
      <c r="C547" s="14" t="s">
        <v>148</v>
      </c>
      <c r="D547" s="14" t="s">
        <v>86</v>
      </c>
      <c r="E547" s="14" t="s">
        <v>414</v>
      </c>
      <c r="F547" s="66">
        <f t="shared" si="18"/>
        <v>767.6</v>
      </c>
      <c r="G547" s="66">
        <f>G548</f>
        <v>767.6</v>
      </c>
      <c r="H547" s="66">
        <f>H549</f>
        <v>0</v>
      </c>
    </row>
    <row r="548" spans="1:8" ht="31.5" customHeight="1">
      <c r="A548" s="29" t="s">
        <v>203</v>
      </c>
      <c r="B548" s="14" t="s">
        <v>231</v>
      </c>
      <c r="C548" s="14" t="s">
        <v>148</v>
      </c>
      <c r="D548" s="14" t="s">
        <v>86</v>
      </c>
      <c r="E548" s="14" t="s">
        <v>158</v>
      </c>
      <c r="F548" s="66">
        <f t="shared" si="18"/>
        <v>767.6</v>
      </c>
      <c r="G548" s="66">
        <f>G549</f>
        <v>767.6</v>
      </c>
      <c r="H548" s="66"/>
    </row>
    <row r="549" spans="1:8" s="166" customFormat="1" ht="32.25" customHeight="1">
      <c r="A549" s="29" t="s">
        <v>204</v>
      </c>
      <c r="B549" s="14" t="s">
        <v>231</v>
      </c>
      <c r="C549" s="14" t="s">
        <v>148</v>
      </c>
      <c r="D549" s="14" t="s">
        <v>86</v>
      </c>
      <c r="E549" s="14" t="s">
        <v>205</v>
      </c>
      <c r="F549" s="66">
        <f t="shared" si="18"/>
        <v>767.6</v>
      </c>
      <c r="G549" s="66">
        <f>683+84.6</f>
        <v>767.6</v>
      </c>
      <c r="H549" s="117"/>
    </row>
    <row r="550" spans="1:8" s="166" customFormat="1" ht="18.75" customHeight="1">
      <c r="A550" s="44" t="s">
        <v>602</v>
      </c>
      <c r="B550" s="61" t="s">
        <v>231</v>
      </c>
      <c r="C550" s="61" t="s">
        <v>155</v>
      </c>
      <c r="D550" s="61" t="s">
        <v>322</v>
      </c>
      <c r="E550" s="61" t="s">
        <v>414</v>
      </c>
      <c r="F550" s="114">
        <f t="shared" si="18"/>
        <v>2449.342</v>
      </c>
      <c r="G550" s="114">
        <f>G551+G554+G559</f>
        <v>200</v>
      </c>
      <c r="H550" s="114">
        <f>H551+H557</f>
        <v>2249.342</v>
      </c>
    </row>
    <row r="551" spans="1:8" s="166" customFormat="1" ht="97.5" customHeight="1">
      <c r="A551" s="33" t="s">
        <v>603</v>
      </c>
      <c r="B551" s="30" t="s">
        <v>231</v>
      </c>
      <c r="C551" s="30" t="s">
        <v>155</v>
      </c>
      <c r="D551" s="30" t="s">
        <v>49</v>
      </c>
      <c r="E551" s="30" t="s">
        <v>414</v>
      </c>
      <c r="F551" s="67">
        <f>H551</f>
        <v>2160</v>
      </c>
      <c r="G551" s="67"/>
      <c r="H551" s="67">
        <f>H552+H554</f>
        <v>2160</v>
      </c>
    </row>
    <row r="552" spans="1:8" s="166" customFormat="1" ht="33" customHeight="1">
      <c r="A552" s="29" t="s">
        <v>203</v>
      </c>
      <c r="B552" s="14" t="s">
        <v>231</v>
      </c>
      <c r="C552" s="14" t="s">
        <v>155</v>
      </c>
      <c r="D552" s="14" t="s">
        <v>935</v>
      </c>
      <c r="E552" s="14" t="s">
        <v>158</v>
      </c>
      <c r="F552" s="66">
        <f>H552</f>
        <v>2160</v>
      </c>
      <c r="G552" s="66"/>
      <c r="H552" s="66">
        <f>H553</f>
        <v>2160</v>
      </c>
    </row>
    <row r="553" spans="1:8" s="166" customFormat="1" ht="36" customHeight="1">
      <c r="A553" s="29" t="s">
        <v>206</v>
      </c>
      <c r="B553" s="14" t="s">
        <v>231</v>
      </c>
      <c r="C553" s="14" t="s">
        <v>155</v>
      </c>
      <c r="D553" s="14" t="s">
        <v>935</v>
      </c>
      <c r="E553" s="14" t="s">
        <v>207</v>
      </c>
      <c r="F553" s="66">
        <f>H553</f>
        <v>2160</v>
      </c>
      <c r="G553" s="66"/>
      <c r="H553" s="66">
        <v>2160</v>
      </c>
    </row>
    <row r="554" spans="1:8" s="150" customFormat="1" ht="57" customHeight="1">
      <c r="A554" s="33" t="s">
        <v>866</v>
      </c>
      <c r="B554" s="30" t="s">
        <v>231</v>
      </c>
      <c r="C554" s="30" t="s">
        <v>155</v>
      </c>
      <c r="D554" s="30" t="s">
        <v>87</v>
      </c>
      <c r="E554" s="30" t="s">
        <v>414</v>
      </c>
      <c r="F554" s="67">
        <f>G554+H554</f>
        <v>200</v>
      </c>
      <c r="G554" s="67">
        <f>G555</f>
        <v>200</v>
      </c>
      <c r="H554" s="67">
        <f>H556</f>
        <v>0</v>
      </c>
    </row>
    <row r="555" spans="1:8" s="150" customFormat="1" ht="32.25" customHeight="1">
      <c r="A555" s="29" t="s">
        <v>203</v>
      </c>
      <c r="B555" s="14" t="s">
        <v>231</v>
      </c>
      <c r="C555" s="14" t="s">
        <v>155</v>
      </c>
      <c r="D555" s="14" t="s">
        <v>88</v>
      </c>
      <c r="E555" s="14" t="s">
        <v>158</v>
      </c>
      <c r="F555" s="66">
        <f>G555</f>
        <v>200</v>
      </c>
      <c r="G555" s="66">
        <f>G556</f>
        <v>200</v>
      </c>
      <c r="H555" s="66"/>
    </row>
    <row r="556" spans="1:8" ht="31.5" customHeight="1">
      <c r="A556" s="29" t="s">
        <v>206</v>
      </c>
      <c r="B556" s="14" t="s">
        <v>231</v>
      </c>
      <c r="C556" s="14" t="s">
        <v>155</v>
      </c>
      <c r="D556" s="14" t="s">
        <v>88</v>
      </c>
      <c r="E556" s="14" t="s">
        <v>207</v>
      </c>
      <c r="F556" s="66">
        <f>G556+H556</f>
        <v>200</v>
      </c>
      <c r="G556" s="66">
        <v>200</v>
      </c>
      <c r="H556" s="66"/>
    </row>
    <row r="557" spans="1:8" ht="31.5" customHeight="1">
      <c r="A557" s="29" t="s">
        <v>151</v>
      </c>
      <c r="B557" s="14" t="s">
        <v>231</v>
      </c>
      <c r="C557" s="14" t="s">
        <v>155</v>
      </c>
      <c r="D557" s="14" t="s">
        <v>322</v>
      </c>
      <c r="E557" s="14" t="s">
        <v>414</v>
      </c>
      <c r="F557" s="66">
        <f>G557+H557</f>
        <v>89.342</v>
      </c>
      <c r="G557" s="66">
        <f aca="true" t="shared" si="19" ref="G557:H560">G558</f>
        <v>0</v>
      </c>
      <c r="H557" s="66">
        <f t="shared" si="19"/>
        <v>89.342</v>
      </c>
    </row>
    <row r="558" spans="1:8" ht="46.5" customHeight="1">
      <c r="A558" s="29" t="s">
        <v>152</v>
      </c>
      <c r="B558" s="14" t="s">
        <v>231</v>
      </c>
      <c r="C558" s="14" t="s">
        <v>155</v>
      </c>
      <c r="D558" s="14" t="s">
        <v>322</v>
      </c>
      <c r="E558" s="14" t="s">
        <v>414</v>
      </c>
      <c r="F558" s="66">
        <f>F559</f>
        <v>89.342</v>
      </c>
      <c r="G558" s="66">
        <f t="shared" si="19"/>
        <v>0</v>
      </c>
      <c r="H558" s="66">
        <f t="shared" si="19"/>
        <v>89.342</v>
      </c>
    </row>
    <row r="559" spans="1:8" ht="240" customHeight="1">
      <c r="A559" s="48" t="s">
        <v>962</v>
      </c>
      <c r="B559" s="14" t="s">
        <v>231</v>
      </c>
      <c r="C559" s="14" t="s">
        <v>155</v>
      </c>
      <c r="D559" s="30" t="s">
        <v>951</v>
      </c>
      <c r="E559" s="30" t="s">
        <v>414</v>
      </c>
      <c r="F559" s="67">
        <f>G559+H559</f>
        <v>89.342</v>
      </c>
      <c r="G559" s="67">
        <f t="shared" si="19"/>
        <v>0</v>
      </c>
      <c r="H559" s="67">
        <f t="shared" si="19"/>
        <v>89.342</v>
      </c>
    </row>
    <row r="560" spans="1:8" ht="20.25" customHeight="1">
      <c r="A560" s="54" t="s">
        <v>194</v>
      </c>
      <c r="B560" s="14" t="s">
        <v>231</v>
      </c>
      <c r="C560" s="14" t="s">
        <v>155</v>
      </c>
      <c r="D560" s="14" t="s">
        <v>951</v>
      </c>
      <c r="E560" s="14" t="s">
        <v>195</v>
      </c>
      <c r="F560" s="66">
        <f>G560+H560</f>
        <v>89.342</v>
      </c>
      <c r="G560" s="66">
        <f t="shared" si="19"/>
        <v>0</v>
      </c>
      <c r="H560" s="66">
        <f t="shared" si="19"/>
        <v>89.342</v>
      </c>
    </row>
    <row r="561" spans="1:8" ht="81" customHeight="1">
      <c r="A561" s="54" t="s">
        <v>960</v>
      </c>
      <c r="B561" s="14" t="s">
        <v>231</v>
      </c>
      <c r="C561" s="14" t="s">
        <v>155</v>
      </c>
      <c r="D561" s="14" t="s">
        <v>951</v>
      </c>
      <c r="E561" s="14" t="s">
        <v>391</v>
      </c>
      <c r="F561" s="66">
        <f>G561+H561</f>
        <v>89.342</v>
      </c>
      <c r="G561" s="66">
        <v>0</v>
      </c>
      <c r="H561" s="66">
        <v>89.342</v>
      </c>
    </row>
    <row r="562" spans="1:11" ht="18.75" customHeight="1">
      <c r="A562" s="44" t="s">
        <v>407</v>
      </c>
      <c r="B562" s="61" t="s">
        <v>231</v>
      </c>
      <c r="C562" s="61" t="s">
        <v>159</v>
      </c>
      <c r="D562" s="61" t="s">
        <v>322</v>
      </c>
      <c r="E562" s="61" t="s">
        <v>414</v>
      </c>
      <c r="F562" s="114">
        <f aca="true" t="shared" si="20" ref="F562:F567">G562+H562</f>
        <v>39531.290819999995</v>
      </c>
      <c r="G562" s="114">
        <f>G574</f>
        <v>0</v>
      </c>
      <c r="H562" s="114">
        <f>H565+H574+H568+H579+H585</f>
        <v>39531.290819999995</v>
      </c>
      <c r="K562" s="155"/>
    </row>
    <row r="563" spans="1:8" ht="47.25" customHeight="1">
      <c r="A563" s="33" t="s">
        <v>478</v>
      </c>
      <c r="B563" s="14" t="s">
        <v>231</v>
      </c>
      <c r="C563" s="14" t="s">
        <v>159</v>
      </c>
      <c r="D563" s="14" t="s">
        <v>31</v>
      </c>
      <c r="E563" s="14" t="s">
        <v>414</v>
      </c>
      <c r="F563" s="66">
        <f t="shared" si="20"/>
        <v>6035.259</v>
      </c>
      <c r="G563" s="66">
        <f>G564</f>
        <v>0</v>
      </c>
      <c r="H563" s="66">
        <f>H564</f>
        <v>6035.259</v>
      </c>
    </row>
    <row r="564" spans="1:8" ht="33" customHeight="1">
      <c r="A564" s="34" t="s">
        <v>89</v>
      </c>
      <c r="B564" s="14" t="s">
        <v>231</v>
      </c>
      <c r="C564" s="14" t="s">
        <v>159</v>
      </c>
      <c r="D564" s="14" t="s">
        <v>44</v>
      </c>
      <c r="E564" s="14" t="s">
        <v>414</v>
      </c>
      <c r="F564" s="66">
        <f t="shared" si="20"/>
        <v>6035.259</v>
      </c>
      <c r="G564" s="66">
        <f>G565</f>
        <v>0</v>
      </c>
      <c r="H564" s="66">
        <f>H565</f>
        <v>6035.259</v>
      </c>
    </row>
    <row r="565" spans="1:10" ht="79.5" customHeight="1">
      <c r="A565" s="33" t="s">
        <v>233</v>
      </c>
      <c r="B565" s="14" t="s">
        <v>231</v>
      </c>
      <c r="C565" s="14" t="s">
        <v>159</v>
      </c>
      <c r="D565" s="14" t="s">
        <v>90</v>
      </c>
      <c r="E565" s="14" t="s">
        <v>414</v>
      </c>
      <c r="F565" s="66">
        <f t="shared" si="20"/>
        <v>6035.259</v>
      </c>
      <c r="G565" s="66">
        <f>G567</f>
        <v>0</v>
      </c>
      <c r="H565" s="66">
        <f>H567+H566</f>
        <v>6035.259</v>
      </c>
      <c r="J565" s="151"/>
    </row>
    <row r="566" spans="1:8" ht="47.25" customHeight="1">
      <c r="A566" s="54" t="s">
        <v>190</v>
      </c>
      <c r="B566" s="14" t="s">
        <v>231</v>
      </c>
      <c r="C566" s="14" t="s">
        <v>159</v>
      </c>
      <c r="D566" s="14" t="s">
        <v>90</v>
      </c>
      <c r="E566" s="14" t="s">
        <v>191</v>
      </c>
      <c r="F566" s="66">
        <f t="shared" si="20"/>
        <v>90.529</v>
      </c>
      <c r="G566" s="66"/>
      <c r="H566" s="66">
        <v>90.529</v>
      </c>
    </row>
    <row r="567" spans="1:8" ht="35.25" customHeight="1">
      <c r="A567" s="29" t="s">
        <v>204</v>
      </c>
      <c r="B567" s="14" t="s">
        <v>231</v>
      </c>
      <c r="C567" s="14" t="s">
        <v>159</v>
      </c>
      <c r="D567" s="14" t="s">
        <v>90</v>
      </c>
      <c r="E567" s="14" t="s">
        <v>205</v>
      </c>
      <c r="F567" s="66">
        <f t="shared" si="20"/>
        <v>5944.73</v>
      </c>
      <c r="G567" s="66"/>
      <c r="H567" s="66">
        <v>5944.73</v>
      </c>
    </row>
    <row r="568" spans="1:8" ht="48" customHeight="1">
      <c r="A568" s="33" t="s">
        <v>478</v>
      </c>
      <c r="B568" s="30" t="s">
        <v>231</v>
      </c>
      <c r="C568" s="30" t="s">
        <v>159</v>
      </c>
      <c r="D568" s="30" t="s">
        <v>31</v>
      </c>
      <c r="E568" s="30" t="s">
        <v>414</v>
      </c>
      <c r="F568" s="67">
        <f aca="true" t="shared" si="21" ref="F568:F578">H568</f>
        <v>300</v>
      </c>
      <c r="G568" s="67">
        <v>0</v>
      </c>
      <c r="H568" s="67">
        <f>H569</f>
        <v>300</v>
      </c>
    </row>
    <row r="569" spans="1:8" ht="34.5" customHeight="1">
      <c r="A569" s="136" t="s">
        <v>466</v>
      </c>
      <c r="B569" s="30" t="s">
        <v>231</v>
      </c>
      <c r="C569" s="30" t="s">
        <v>159</v>
      </c>
      <c r="D569" s="30" t="s">
        <v>66</v>
      </c>
      <c r="E569" s="30" t="s">
        <v>414</v>
      </c>
      <c r="F569" s="67">
        <f t="shared" si="21"/>
        <v>300</v>
      </c>
      <c r="G569" s="67">
        <v>0</v>
      </c>
      <c r="H569" s="67">
        <f>H570</f>
        <v>300</v>
      </c>
    </row>
    <row r="570" spans="1:8" ht="61.5" customHeight="1">
      <c r="A570" s="33" t="s">
        <v>748</v>
      </c>
      <c r="B570" s="14" t="s">
        <v>231</v>
      </c>
      <c r="C570" s="14" t="s">
        <v>159</v>
      </c>
      <c r="D570" s="30" t="s">
        <v>66</v>
      </c>
      <c r="E570" s="30" t="s">
        <v>414</v>
      </c>
      <c r="F570" s="66">
        <f t="shared" si="21"/>
        <v>300</v>
      </c>
      <c r="G570" s="66">
        <v>0</v>
      </c>
      <c r="H570" s="66">
        <f>H571</f>
        <v>300</v>
      </c>
    </row>
    <row r="571" spans="1:8" ht="35.25" customHeight="1">
      <c r="A571" s="54" t="s">
        <v>203</v>
      </c>
      <c r="B571" s="14" t="s">
        <v>231</v>
      </c>
      <c r="C571" s="14" t="s">
        <v>159</v>
      </c>
      <c r="D571" s="14" t="s">
        <v>67</v>
      </c>
      <c r="E571" s="14" t="s">
        <v>158</v>
      </c>
      <c r="F571" s="66">
        <f t="shared" si="21"/>
        <v>300</v>
      </c>
      <c r="G571" s="66">
        <v>0</v>
      </c>
      <c r="H571" s="66">
        <f>H572</f>
        <v>300</v>
      </c>
    </row>
    <row r="572" spans="1:8" ht="32.25" customHeight="1">
      <c r="A572" s="54" t="s">
        <v>204</v>
      </c>
      <c r="B572" s="14" t="s">
        <v>231</v>
      </c>
      <c r="C572" s="14" t="s">
        <v>159</v>
      </c>
      <c r="D572" s="14" t="s">
        <v>67</v>
      </c>
      <c r="E572" s="14" t="s">
        <v>205</v>
      </c>
      <c r="F572" s="66">
        <f t="shared" si="21"/>
        <v>300</v>
      </c>
      <c r="G572" s="66">
        <v>0</v>
      </c>
      <c r="H572" s="66">
        <v>300</v>
      </c>
    </row>
    <row r="573" spans="1:8" ht="131.25" customHeight="1">
      <c r="A573" s="44" t="s">
        <v>894</v>
      </c>
      <c r="B573" s="61" t="s">
        <v>231</v>
      </c>
      <c r="C573" s="61" t="s">
        <v>159</v>
      </c>
      <c r="D573" s="61" t="s">
        <v>808</v>
      </c>
      <c r="E573" s="61" t="s">
        <v>414</v>
      </c>
      <c r="F573" s="114">
        <f>G573+H573</f>
        <v>33196.03182</v>
      </c>
      <c r="G573" s="114">
        <f>G574+G579+G585</f>
        <v>0</v>
      </c>
      <c r="H573" s="114">
        <f>H574+H579+H585</f>
        <v>33196.03182</v>
      </c>
    </row>
    <row r="574" spans="1:8" ht="66.75" customHeight="1">
      <c r="A574" s="48" t="s">
        <v>564</v>
      </c>
      <c r="B574" s="30" t="s">
        <v>231</v>
      </c>
      <c r="C574" s="30" t="s">
        <v>159</v>
      </c>
      <c r="D574" s="14" t="s">
        <v>814</v>
      </c>
      <c r="E574" s="30" t="s">
        <v>414</v>
      </c>
      <c r="F574" s="67">
        <f t="shared" si="21"/>
        <v>21151.92</v>
      </c>
      <c r="G574" s="67"/>
      <c r="H574" s="67">
        <f>H575+H577</f>
        <v>21151.92</v>
      </c>
    </row>
    <row r="575" spans="1:8" ht="37.5" customHeight="1">
      <c r="A575" s="29" t="s">
        <v>189</v>
      </c>
      <c r="B575" s="14" t="s">
        <v>231</v>
      </c>
      <c r="C575" s="14" t="s">
        <v>159</v>
      </c>
      <c r="D575" s="14" t="s">
        <v>565</v>
      </c>
      <c r="E575" s="14" t="s">
        <v>157</v>
      </c>
      <c r="F575" s="66">
        <f>G575+H575</f>
        <v>213.51999999999998</v>
      </c>
      <c r="G575" s="67"/>
      <c r="H575" s="66">
        <f>H576</f>
        <v>213.51999999999998</v>
      </c>
    </row>
    <row r="576" spans="1:8" ht="52.5" customHeight="1">
      <c r="A576" s="54" t="s">
        <v>190</v>
      </c>
      <c r="B576" s="14" t="s">
        <v>231</v>
      </c>
      <c r="C576" s="14" t="s">
        <v>159</v>
      </c>
      <c r="D576" s="14" t="s">
        <v>565</v>
      </c>
      <c r="E576" s="14" t="s">
        <v>191</v>
      </c>
      <c r="F576" s="66">
        <f>G576+H576</f>
        <v>213.51999999999998</v>
      </c>
      <c r="G576" s="67"/>
      <c r="H576" s="66">
        <f>383.52-170</f>
        <v>213.51999999999998</v>
      </c>
    </row>
    <row r="577" spans="1:8" ht="48.75" customHeight="1">
      <c r="A577" s="54" t="s">
        <v>604</v>
      </c>
      <c r="B577" s="14" t="s">
        <v>231</v>
      </c>
      <c r="C577" s="14" t="s">
        <v>159</v>
      </c>
      <c r="D577" s="14" t="s">
        <v>814</v>
      </c>
      <c r="E577" s="14" t="s">
        <v>605</v>
      </c>
      <c r="F577" s="66">
        <f t="shared" si="21"/>
        <v>20938.399999999998</v>
      </c>
      <c r="G577" s="66"/>
      <c r="H577" s="66">
        <f>H578</f>
        <v>20938.399999999998</v>
      </c>
    </row>
    <row r="578" spans="1:9" ht="17.25" customHeight="1">
      <c r="A578" s="54" t="s">
        <v>606</v>
      </c>
      <c r="B578" s="14" t="s">
        <v>231</v>
      </c>
      <c r="C578" s="14" t="s">
        <v>159</v>
      </c>
      <c r="D578" s="14" t="s">
        <v>814</v>
      </c>
      <c r="E578" s="14" t="s">
        <v>607</v>
      </c>
      <c r="F578" s="66">
        <f t="shared" si="21"/>
        <v>20938.399999999998</v>
      </c>
      <c r="G578" s="66"/>
      <c r="H578" s="66">
        <f>21118.07693-383.52+170+33.84307</f>
        <v>20938.399999999998</v>
      </c>
      <c r="I578" s="158"/>
    </row>
    <row r="579" spans="1:11" ht="115.5" customHeight="1">
      <c r="A579" s="33" t="s">
        <v>685</v>
      </c>
      <c r="B579" s="30" t="s">
        <v>231</v>
      </c>
      <c r="C579" s="30" t="s">
        <v>159</v>
      </c>
      <c r="D579" s="14" t="s">
        <v>812</v>
      </c>
      <c r="E579" s="30" t="s">
        <v>414</v>
      </c>
      <c r="F579" s="67">
        <f aca="true" t="shared" si="22" ref="F579:F589">G579+H579</f>
        <v>11513.829310000001</v>
      </c>
      <c r="G579" s="67"/>
      <c r="H579" s="67">
        <f>H580+H582</f>
        <v>11513.829310000001</v>
      </c>
      <c r="I579" s="183"/>
      <c r="J579" s="182"/>
      <c r="K579" s="183"/>
    </row>
    <row r="580" spans="1:9" ht="36.75" customHeight="1">
      <c r="A580" s="29" t="s">
        <v>189</v>
      </c>
      <c r="B580" s="14" t="s">
        <v>231</v>
      </c>
      <c r="C580" s="14" t="s">
        <v>159</v>
      </c>
      <c r="D580" s="14" t="s">
        <v>812</v>
      </c>
      <c r="E580" s="14" t="s">
        <v>157</v>
      </c>
      <c r="F580" s="66">
        <f>H580</f>
        <v>150</v>
      </c>
      <c r="G580" s="66"/>
      <c r="H580" s="66">
        <f>H581</f>
        <v>150</v>
      </c>
      <c r="I580" s="158"/>
    </row>
    <row r="581" spans="1:9" ht="50.25" customHeight="1">
      <c r="A581" s="54" t="s">
        <v>190</v>
      </c>
      <c r="B581" s="14" t="s">
        <v>231</v>
      </c>
      <c r="C581" s="14" t="s">
        <v>159</v>
      </c>
      <c r="D581" s="14" t="s">
        <v>812</v>
      </c>
      <c r="E581" s="14" t="s">
        <v>191</v>
      </c>
      <c r="F581" s="66">
        <f>H581</f>
        <v>150</v>
      </c>
      <c r="G581" s="66"/>
      <c r="H581" s="66">
        <v>150</v>
      </c>
      <c r="I581" s="158"/>
    </row>
    <row r="582" spans="1:9" ht="30" customHeight="1">
      <c r="A582" s="29" t="s">
        <v>203</v>
      </c>
      <c r="B582" s="14" t="s">
        <v>231</v>
      </c>
      <c r="C582" s="14" t="s">
        <v>159</v>
      </c>
      <c r="D582" s="14" t="s">
        <v>812</v>
      </c>
      <c r="E582" s="14" t="s">
        <v>158</v>
      </c>
      <c r="F582" s="66">
        <f t="shared" si="22"/>
        <v>11363.829310000001</v>
      </c>
      <c r="G582" s="66"/>
      <c r="H582" s="66">
        <f>H583+H584</f>
        <v>11363.829310000001</v>
      </c>
      <c r="I582" s="158"/>
    </row>
    <row r="583" spans="1:9" ht="30.75" customHeight="1">
      <c r="A583" s="54" t="s">
        <v>204</v>
      </c>
      <c r="B583" s="14" t="s">
        <v>231</v>
      </c>
      <c r="C583" s="14" t="s">
        <v>159</v>
      </c>
      <c r="D583" s="14" t="s">
        <v>812</v>
      </c>
      <c r="E583" s="14" t="s">
        <v>205</v>
      </c>
      <c r="F583" s="66">
        <f t="shared" si="22"/>
        <v>9202.82256</v>
      </c>
      <c r="G583" s="66"/>
      <c r="H583" s="66">
        <f>10649.63122-1788.71266+341.904</f>
        <v>9202.82256</v>
      </c>
      <c r="I583" s="158"/>
    </row>
    <row r="584" spans="1:9" ht="30.75" customHeight="1">
      <c r="A584" s="29" t="s">
        <v>206</v>
      </c>
      <c r="B584" s="14" t="s">
        <v>231</v>
      </c>
      <c r="C584" s="14" t="s">
        <v>159</v>
      </c>
      <c r="D584" s="14" t="s">
        <v>812</v>
      </c>
      <c r="E584" s="14" t="s">
        <v>207</v>
      </c>
      <c r="F584" s="66">
        <f t="shared" si="22"/>
        <v>2161.00675</v>
      </c>
      <c r="G584" s="66"/>
      <c r="H584" s="66">
        <f>3600+400-1121.904-717.08925</f>
        <v>2161.00675</v>
      </c>
      <c r="I584" s="158"/>
    </row>
    <row r="585" spans="1:10" ht="94.5" customHeight="1">
      <c r="A585" s="33" t="s">
        <v>688</v>
      </c>
      <c r="B585" s="30" t="s">
        <v>231</v>
      </c>
      <c r="C585" s="30" t="s">
        <v>159</v>
      </c>
      <c r="D585" s="14" t="s">
        <v>813</v>
      </c>
      <c r="E585" s="30" t="s">
        <v>414</v>
      </c>
      <c r="F585" s="67">
        <f t="shared" si="22"/>
        <v>530.28251</v>
      </c>
      <c r="G585" s="67"/>
      <c r="H585" s="67">
        <f>H586+H588</f>
        <v>530.28251</v>
      </c>
      <c r="I585" s="158"/>
      <c r="J585" s="158"/>
    </row>
    <row r="586" spans="1:9" ht="36.75" customHeight="1">
      <c r="A586" s="29" t="s">
        <v>189</v>
      </c>
      <c r="B586" s="14" t="s">
        <v>231</v>
      </c>
      <c r="C586" s="14" t="s">
        <v>159</v>
      </c>
      <c r="D586" s="14" t="s">
        <v>813</v>
      </c>
      <c r="E586" s="14" t="s">
        <v>157</v>
      </c>
      <c r="F586" s="66">
        <f>H586</f>
        <v>5</v>
      </c>
      <c r="G586" s="66"/>
      <c r="H586" s="66">
        <f>H587</f>
        <v>5</v>
      </c>
      <c r="I586" s="158"/>
    </row>
    <row r="587" spans="1:9" ht="50.25" customHeight="1">
      <c r="A587" s="54" t="s">
        <v>190</v>
      </c>
      <c r="B587" s="14" t="s">
        <v>231</v>
      </c>
      <c r="C587" s="14" t="s">
        <v>159</v>
      </c>
      <c r="D587" s="14" t="s">
        <v>813</v>
      </c>
      <c r="E587" s="14" t="s">
        <v>191</v>
      </c>
      <c r="F587" s="66">
        <f>H587</f>
        <v>5</v>
      </c>
      <c r="G587" s="66"/>
      <c r="H587" s="66">
        <v>5</v>
      </c>
      <c r="I587" s="158"/>
    </row>
    <row r="588" spans="1:9" ht="30.75" customHeight="1">
      <c r="A588" s="29" t="s">
        <v>203</v>
      </c>
      <c r="B588" s="14" t="s">
        <v>231</v>
      </c>
      <c r="C588" s="14" t="s">
        <v>159</v>
      </c>
      <c r="D588" s="14" t="s">
        <v>813</v>
      </c>
      <c r="E588" s="14" t="s">
        <v>158</v>
      </c>
      <c r="F588" s="66">
        <f t="shared" si="22"/>
        <v>525.28251</v>
      </c>
      <c r="G588" s="66"/>
      <c r="H588" s="66">
        <f>H589</f>
        <v>525.28251</v>
      </c>
      <c r="I588" s="158"/>
    </row>
    <row r="589" spans="1:9" ht="32.25" customHeight="1">
      <c r="A589" s="54" t="s">
        <v>204</v>
      </c>
      <c r="B589" s="14" t="s">
        <v>231</v>
      </c>
      <c r="C589" s="14" t="s">
        <v>159</v>
      </c>
      <c r="D589" s="14" t="s">
        <v>813</v>
      </c>
      <c r="E589" s="14" t="s">
        <v>205</v>
      </c>
      <c r="F589" s="66">
        <f t="shared" si="22"/>
        <v>525.28251</v>
      </c>
      <c r="G589" s="66"/>
      <c r="H589" s="66">
        <f>530.28251-5</f>
        <v>525.28251</v>
      </c>
      <c r="I589" s="158"/>
    </row>
    <row r="590" spans="1:12" s="166" customFormat="1" ht="18.75" customHeight="1">
      <c r="A590" s="64" t="s">
        <v>234</v>
      </c>
      <c r="B590" s="21" t="s">
        <v>166</v>
      </c>
      <c r="C590" s="21" t="s">
        <v>149</v>
      </c>
      <c r="D590" s="21" t="s">
        <v>322</v>
      </c>
      <c r="E590" s="21" t="s">
        <v>414</v>
      </c>
      <c r="F590" s="117">
        <f aca="true" t="shared" si="23" ref="F590:F596">G590+H590</f>
        <v>963</v>
      </c>
      <c r="G590" s="117">
        <f>G591</f>
        <v>963</v>
      </c>
      <c r="H590" s="117">
        <f>H591</f>
        <v>0</v>
      </c>
      <c r="K590" s="169"/>
      <c r="L590" s="169"/>
    </row>
    <row r="591" spans="1:8" ht="15.75" customHeight="1">
      <c r="A591" s="29" t="s">
        <v>348</v>
      </c>
      <c r="B591" s="14" t="s">
        <v>166</v>
      </c>
      <c r="C591" s="14" t="s">
        <v>150</v>
      </c>
      <c r="D591" s="14" t="s">
        <v>322</v>
      </c>
      <c r="E591" s="14" t="s">
        <v>414</v>
      </c>
      <c r="F591" s="66">
        <f t="shared" si="23"/>
        <v>963</v>
      </c>
      <c r="G591" s="66">
        <f>G592</f>
        <v>963</v>
      </c>
      <c r="H591" s="66">
        <f>H592</f>
        <v>0</v>
      </c>
    </row>
    <row r="592" spans="1:8" ht="50.25" customHeight="1">
      <c r="A592" s="33" t="s">
        <v>483</v>
      </c>
      <c r="B592" s="30" t="s">
        <v>166</v>
      </c>
      <c r="C592" s="30" t="s">
        <v>150</v>
      </c>
      <c r="D592" s="30" t="s">
        <v>91</v>
      </c>
      <c r="E592" s="30" t="s">
        <v>414</v>
      </c>
      <c r="F592" s="67">
        <f t="shared" si="23"/>
        <v>963</v>
      </c>
      <c r="G592" s="67">
        <f>G593+G596+G614+G611+G621</f>
        <v>963</v>
      </c>
      <c r="H592" s="67">
        <f>H593+H596+H614+H621</f>
        <v>0</v>
      </c>
    </row>
    <row r="593" spans="1:8" ht="33" customHeight="1">
      <c r="A593" s="29" t="s">
        <v>235</v>
      </c>
      <c r="B593" s="14" t="s">
        <v>166</v>
      </c>
      <c r="C593" s="14" t="s">
        <v>150</v>
      </c>
      <c r="D593" s="14" t="s">
        <v>92</v>
      </c>
      <c r="E593" s="14" t="s">
        <v>414</v>
      </c>
      <c r="F593" s="66">
        <f t="shared" si="23"/>
        <v>609</v>
      </c>
      <c r="G593" s="66">
        <f>G594</f>
        <v>609</v>
      </c>
      <c r="H593" s="66">
        <f>H595</f>
        <v>0</v>
      </c>
    </row>
    <row r="594" spans="1:8" ht="32.25" customHeight="1">
      <c r="A594" s="29" t="s">
        <v>189</v>
      </c>
      <c r="B594" s="14" t="s">
        <v>166</v>
      </c>
      <c r="C594" s="14" t="s">
        <v>150</v>
      </c>
      <c r="D594" s="14" t="s">
        <v>92</v>
      </c>
      <c r="E594" s="14" t="s">
        <v>157</v>
      </c>
      <c r="F594" s="66">
        <f t="shared" si="23"/>
        <v>609</v>
      </c>
      <c r="G594" s="66">
        <f>G595</f>
        <v>609</v>
      </c>
      <c r="H594" s="66"/>
    </row>
    <row r="595" spans="1:8" ht="49.5" customHeight="1">
      <c r="A595" s="54" t="s">
        <v>190</v>
      </c>
      <c r="B595" s="14" t="s">
        <v>166</v>
      </c>
      <c r="C595" s="14" t="s">
        <v>150</v>
      </c>
      <c r="D595" s="14" t="s">
        <v>92</v>
      </c>
      <c r="E595" s="14" t="s">
        <v>191</v>
      </c>
      <c r="F595" s="66">
        <f t="shared" si="23"/>
        <v>609</v>
      </c>
      <c r="G595" s="66">
        <f>150+156.8+130+145.22+26.98</f>
        <v>609</v>
      </c>
      <c r="H595" s="66"/>
    </row>
    <row r="596" spans="1:8" ht="49.5" customHeight="1" hidden="1">
      <c r="A596" s="65" t="s">
        <v>608</v>
      </c>
      <c r="B596" s="21" t="s">
        <v>166</v>
      </c>
      <c r="C596" s="21" t="s">
        <v>150</v>
      </c>
      <c r="D596" s="21" t="s">
        <v>91</v>
      </c>
      <c r="E596" s="21" t="s">
        <v>414</v>
      </c>
      <c r="F596" s="117">
        <f t="shared" si="23"/>
        <v>0</v>
      </c>
      <c r="G596" s="117">
        <f>G604</f>
        <v>0</v>
      </c>
      <c r="H596" s="117">
        <f>H597</f>
        <v>0</v>
      </c>
    </row>
    <row r="597" spans="1:8" ht="83.25" customHeight="1" hidden="1">
      <c r="A597" s="48" t="s">
        <v>619</v>
      </c>
      <c r="B597" s="30" t="s">
        <v>166</v>
      </c>
      <c r="C597" s="30" t="s">
        <v>150</v>
      </c>
      <c r="D597" s="30" t="s">
        <v>609</v>
      </c>
      <c r="E597" s="30" t="s">
        <v>414</v>
      </c>
      <c r="F597" s="67">
        <f aca="true" t="shared" si="24" ref="F597:F603">H597</f>
        <v>0</v>
      </c>
      <c r="G597" s="67"/>
      <c r="H597" s="67">
        <f>H600+H602</f>
        <v>0</v>
      </c>
    </row>
    <row r="598" spans="1:8" ht="39.75" customHeight="1" hidden="1">
      <c r="A598" s="29" t="s">
        <v>189</v>
      </c>
      <c r="B598" s="14" t="s">
        <v>166</v>
      </c>
      <c r="C598" s="14" t="s">
        <v>150</v>
      </c>
      <c r="D598" s="14" t="s">
        <v>609</v>
      </c>
      <c r="E598" s="14" t="s">
        <v>157</v>
      </c>
      <c r="F598" s="66">
        <f t="shared" si="24"/>
        <v>0</v>
      </c>
      <c r="G598" s="66"/>
      <c r="H598" s="66">
        <f>H599</f>
        <v>0</v>
      </c>
    </row>
    <row r="599" spans="1:8" ht="64.5" customHeight="1" hidden="1">
      <c r="A599" s="54" t="s">
        <v>620</v>
      </c>
      <c r="B599" s="14" t="s">
        <v>166</v>
      </c>
      <c r="C599" s="14" t="s">
        <v>150</v>
      </c>
      <c r="D599" s="14" t="s">
        <v>609</v>
      </c>
      <c r="E599" s="14" t="s">
        <v>191</v>
      </c>
      <c r="F599" s="66">
        <f t="shared" si="24"/>
        <v>0</v>
      </c>
      <c r="G599" s="66"/>
      <c r="H599" s="66">
        <v>0</v>
      </c>
    </row>
    <row r="600" spans="1:8" ht="47.25" customHeight="1" hidden="1">
      <c r="A600" s="54" t="s">
        <v>604</v>
      </c>
      <c r="B600" s="14" t="s">
        <v>166</v>
      </c>
      <c r="C600" s="14" t="s">
        <v>150</v>
      </c>
      <c r="D600" s="14" t="s">
        <v>609</v>
      </c>
      <c r="E600" s="14" t="s">
        <v>605</v>
      </c>
      <c r="F600" s="66">
        <f t="shared" si="24"/>
        <v>0</v>
      </c>
      <c r="G600" s="66"/>
      <c r="H600" s="66">
        <f>H601</f>
        <v>0</v>
      </c>
    </row>
    <row r="601" spans="1:8" ht="15" customHeight="1" hidden="1">
      <c r="A601" s="54" t="s">
        <v>606</v>
      </c>
      <c r="B601" s="14" t="s">
        <v>166</v>
      </c>
      <c r="C601" s="14" t="s">
        <v>150</v>
      </c>
      <c r="D601" s="14" t="s">
        <v>609</v>
      </c>
      <c r="E601" s="14" t="s">
        <v>607</v>
      </c>
      <c r="F601" s="66">
        <f t="shared" si="24"/>
        <v>0</v>
      </c>
      <c r="G601" s="66"/>
      <c r="H601" s="66">
        <v>0</v>
      </c>
    </row>
    <row r="602" spans="1:8" ht="30" customHeight="1" hidden="1">
      <c r="A602" s="29" t="s">
        <v>610</v>
      </c>
      <c r="B602" s="14" t="s">
        <v>166</v>
      </c>
      <c r="C602" s="14" t="s">
        <v>150</v>
      </c>
      <c r="D602" s="14" t="s">
        <v>609</v>
      </c>
      <c r="E602" s="14" t="s">
        <v>213</v>
      </c>
      <c r="F602" s="66">
        <f t="shared" si="24"/>
        <v>0</v>
      </c>
      <c r="G602" s="66"/>
      <c r="H602" s="66">
        <f>H603</f>
        <v>0</v>
      </c>
    </row>
    <row r="603" spans="1:8" ht="19.5" customHeight="1" hidden="1">
      <c r="A603" s="29" t="s">
        <v>177</v>
      </c>
      <c r="B603" s="14" t="s">
        <v>166</v>
      </c>
      <c r="C603" s="14" t="s">
        <v>150</v>
      </c>
      <c r="D603" s="14" t="s">
        <v>609</v>
      </c>
      <c r="E603" s="14" t="s">
        <v>289</v>
      </c>
      <c r="F603" s="66">
        <f t="shared" si="24"/>
        <v>0</v>
      </c>
      <c r="G603" s="66"/>
      <c r="H603" s="66">
        <v>0</v>
      </c>
    </row>
    <row r="604" spans="1:8" ht="97.5" customHeight="1" hidden="1">
      <c r="A604" s="48" t="s">
        <v>621</v>
      </c>
      <c r="B604" s="30" t="s">
        <v>166</v>
      </c>
      <c r="C604" s="30" t="s">
        <v>150</v>
      </c>
      <c r="D604" s="30" t="s">
        <v>611</v>
      </c>
      <c r="E604" s="30" t="s">
        <v>414</v>
      </c>
      <c r="F604" s="67">
        <f aca="true" t="shared" si="25" ref="F604:F610">G604</f>
        <v>0</v>
      </c>
      <c r="G604" s="67">
        <f>G607+G609</f>
        <v>0</v>
      </c>
      <c r="H604" s="67"/>
    </row>
    <row r="605" spans="1:8" ht="38.25" customHeight="1" hidden="1">
      <c r="A605" s="29" t="s">
        <v>189</v>
      </c>
      <c r="B605" s="14" t="s">
        <v>166</v>
      </c>
      <c r="C605" s="14" t="s">
        <v>150</v>
      </c>
      <c r="D605" s="14" t="s">
        <v>611</v>
      </c>
      <c r="E605" s="14" t="s">
        <v>157</v>
      </c>
      <c r="F605" s="66">
        <f t="shared" si="25"/>
        <v>0</v>
      </c>
      <c r="G605" s="66">
        <f>G606</f>
        <v>0</v>
      </c>
      <c r="H605" s="66"/>
    </row>
    <row r="606" spans="1:8" ht="48.75" customHeight="1" hidden="1">
      <c r="A606" s="54" t="s">
        <v>620</v>
      </c>
      <c r="B606" s="14" t="s">
        <v>166</v>
      </c>
      <c r="C606" s="14" t="s">
        <v>150</v>
      </c>
      <c r="D606" s="14" t="s">
        <v>611</v>
      </c>
      <c r="E606" s="14" t="s">
        <v>191</v>
      </c>
      <c r="F606" s="66">
        <f t="shared" si="25"/>
        <v>0</v>
      </c>
      <c r="G606" s="66">
        <v>0</v>
      </c>
      <c r="H606" s="66"/>
    </row>
    <row r="607" spans="1:8" ht="49.5" customHeight="1" hidden="1">
      <c r="A607" s="54" t="s">
        <v>604</v>
      </c>
      <c r="B607" s="14" t="s">
        <v>166</v>
      </c>
      <c r="C607" s="14" t="s">
        <v>150</v>
      </c>
      <c r="D607" s="14" t="s">
        <v>611</v>
      </c>
      <c r="E607" s="14" t="s">
        <v>605</v>
      </c>
      <c r="F607" s="66">
        <f t="shared" si="25"/>
        <v>0</v>
      </c>
      <c r="G607" s="66">
        <f>G608</f>
        <v>0</v>
      </c>
      <c r="H607" s="66"/>
    </row>
    <row r="608" spans="1:8" ht="18" customHeight="1" hidden="1">
      <c r="A608" s="54" t="s">
        <v>606</v>
      </c>
      <c r="B608" s="14" t="s">
        <v>166</v>
      </c>
      <c r="C608" s="14" t="s">
        <v>150</v>
      </c>
      <c r="D608" s="14" t="s">
        <v>611</v>
      </c>
      <c r="E608" s="14" t="s">
        <v>607</v>
      </c>
      <c r="F608" s="66">
        <f t="shared" si="25"/>
        <v>0</v>
      </c>
      <c r="G608" s="66">
        <f>86+40-40-86</f>
        <v>0</v>
      </c>
      <c r="H608" s="66"/>
    </row>
    <row r="609" spans="1:8" ht="45" customHeight="1" hidden="1">
      <c r="A609" s="29" t="s">
        <v>610</v>
      </c>
      <c r="B609" s="14" t="s">
        <v>166</v>
      </c>
      <c r="C609" s="14" t="s">
        <v>150</v>
      </c>
      <c r="D609" s="14" t="s">
        <v>609</v>
      </c>
      <c r="E609" s="14" t="s">
        <v>213</v>
      </c>
      <c r="F609" s="66">
        <f t="shared" si="25"/>
        <v>0</v>
      </c>
      <c r="G609" s="66">
        <f>G610</f>
        <v>0</v>
      </c>
      <c r="H609" s="66"/>
    </row>
    <row r="610" spans="1:8" ht="18" customHeight="1" hidden="1">
      <c r="A610" s="29" t="s">
        <v>177</v>
      </c>
      <c r="B610" s="14" t="s">
        <v>166</v>
      </c>
      <c r="C610" s="14" t="s">
        <v>150</v>
      </c>
      <c r="D610" s="14" t="s">
        <v>609</v>
      </c>
      <c r="E610" s="14" t="s">
        <v>289</v>
      </c>
      <c r="F610" s="66">
        <f t="shared" si="25"/>
        <v>0</v>
      </c>
      <c r="G610" s="66">
        <v>0</v>
      </c>
      <c r="H610" s="66"/>
    </row>
    <row r="611" spans="1:8" ht="48" customHeight="1">
      <c r="A611" s="33" t="s">
        <v>770</v>
      </c>
      <c r="B611" s="30" t="s">
        <v>166</v>
      </c>
      <c r="C611" s="30" t="s">
        <v>150</v>
      </c>
      <c r="D611" s="30" t="s">
        <v>766</v>
      </c>
      <c r="E611" s="30" t="s">
        <v>414</v>
      </c>
      <c r="F611" s="67">
        <f>G611+H611</f>
        <v>354</v>
      </c>
      <c r="G611" s="67">
        <f>G612</f>
        <v>354</v>
      </c>
      <c r="H611" s="67"/>
    </row>
    <row r="612" spans="1:8" ht="34.5" customHeight="1">
      <c r="A612" s="29" t="s">
        <v>189</v>
      </c>
      <c r="B612" s="14" t="s">
        <v>166</v>
      </c>
      <c r="C612" s="14" t="s">
        <v>150</v>
      </c>
      <c r="D612" s="14" t="s">
        <v>766</v>
      </c>
      <c r="E612" s="14" t="s">
        <v>157</v>
      </c>
      <c r="F612" s="66">
        <f>G612+H612</f>
        <v>354</v>
      </c>
      <c r="G612" s="66">
        <f>G613</f>
        <v>354</v>
      </c>
      <c r="H612" s="66"/>
    </row>
    <row r="613" spans="1:8" ht="48.75" customHeight="1">
      <c r="A613" s="54" t="s">
        <v>190</v>
      </c>
      <c r="B613" s="14" t="s">
        <v>166</v>
      </c>
      <c r="C613" s="14" t="s">
        <v>150</v>
      </c>
      <c r="D613" s="14" t="s">
        <v>766</v>
      </c>
      <c r="E613" s="14" t="s">
        <v>191</v>
      </c>
      <c r="F613" s="66">
        <f>G613+H613</f>
        <v>354</v>
      </c>
      <c r="G613" s="66">
        <f>375+212+40-373+100</f>
        <v>354</v>
      </c>
      <c r="H613" s="66"/>
    </row>
    <row r="614" spans="1:8" ht="48" customHeight="1" hidden="1">
      <c r="A614" s="64" t="s">
        <v>729</v>
      </c>
      <c r="B614" s="21" t="s">
        <v>166</v>
      </c>
      <c r="C614" s="21" t="s">
        <v>150</v>
      </c>
      <c r="D614" s="21" t="s">
        <v>91</v>
      </c>
      <c r="E614" s="21" t="s">
        <v>414</v>
      </c>
      <c r="F614" s="117">
        <f aca="true" t="shared" si="26" ref="F614:F620">G614+H614</f>
        <v>0</v>
      </c>
      <c r="G614" s="117">
        <f>G615+G618</f>
        <v>0</v>
      </c>
      <c r="H614" s="117">
        <f>H615+H618</f>
        <v>0</v>
      </c>
    </row>
    <row r="615" spans="1:8" ht="64.5" customHeight="1" hidden="1">
      <c r="A615" s="48" t="s">
        <v>737</v>
      </c>
      <c r="B615" s="14" t="s">
        <v>166</v>
      </c>
      <c r="C615" s="14" t="s">
        <v>150</v>
      </c>
      <c r="D615" s="14" t="s">
        <v>732</v>
      </c>
      <c r="E615" s="14" t="s">
        <v>414</v>
      </c>
      <c r="F615" s="66">
        <f t="shared" si="26"/>
        <v>0</v>
      </c>
      <c r="G615" s="66"/>
      <c r="H615" s="66">
        <f>H616</f>
        <v>0</v>
      </c>
    </row>
    <row r="616" spans="1:8" ht="45" customHeight="1" hidden="1">
      <c r="A616" s="29" t="s">
        <v>610</v>
      </c>
      <c r="B616" s="14" t="s">
        <v>166</v>
      </c>
      <c r="C616" s="14" t="s">
        <v>150</v>
      </c>
      <c r="D616" s="14" t="s">
        <v>732</v>
      </c>
      <c r="E616" s="14" t="s">
        <v>213</v>
      </c>
      <c r="F616" s="66">
        <f t="shared" si="26"/>
        <v>0</v>
      </c>
      <c r="G616" s="66"/>
      <c r="H616" s="66">
        <f>H617</f>
        <v>0</v>
      </c>
    </row>
    <row r="617" spans="1:8" ht="18.75" customHeight="1" hidden="1">
      <c r="A617" s="29" t="s">
        <v>177</v>
      </c>
      <c r="B617" s="14" t="s">
        <v>166</v>
      </c>
      <c r="C617" s="14" t="s">
        <v>150</v>
      </c>
      <c r="D617" s="14" t="s">
        <v>732</v>
      </c>
      <c r="E617" s="14" t="s">
        <v>289</v>
      </c>
      <c r="F617" s="66">
        <f t="shared" si="26"/>
        <v>0</v>
      </c>
      <c r="G617" s="66"/>
      <c r="H617" s="66">
        <v>0</v>
      </c>
    </row>
    <row r="618" spans="1:8" ht="81" customHeight="1" hidden="1">
      <c r="A618" s="48" t="s">
        <v>738</v>
      </c>
      <c r="B618" s="14" t="s">
        <v>166</v>
      </c>
      <c r="C618" s="14" t="s">
        <v>150</v>
      </c>
      <c r="D618" s="14" t="s">
        <v>733</v>
      </c>
      <c r="E618" s="14" t="s">
        <v>414</v>
      </c>
      <c r="F618" s="66">
        <f t="shared" si="26"/>
        <v>0</v>
      </c>
      <c r="G618" s="66">
        <f>G619</f>
        <v>0</v>
      </c>
      <c r="H618" s="66"/>
    </row>
    <row r="619" spans="1:8" ht="42.75" customHeight="1" hidden="1">
      <c r="A619" s="29" t="s">
        <v>610</v>
      </c>
      <c r="B619" s="14" t="s">
        <v>166</v>
      </c>
      <c r="C619" s="14" t="s">
        <v>150</v>
      </c>
      <c r="D619" s="14" t="s">
        <v>733</v>
      </c>
      <c r="E619" s="14" t="s">
        <v>213</v>
      </c>
      <c r="F619" s="66">
        <f t="shared" si="26"/>
        <v>0</v>
      </c>
      <c r="G619" s="66">
        <f>G620</f>
        <v>0</v>
      </c>
      <c r="H619" s="66"/>
    </row>
    <row r="620" spans="1:8" ht="18.75" customHeight="1" hidden="1">
      <c r="A620" s="29" t="s">
        <v>177</v>
      </c>
      <c r="B620" s="14" t="s">
        <v>166</v>
      </c>
      <c r="C620" s="14" t="s">
        <v>150</v>
      </c>
      <c r="D620" s="14" t="s">
        <v>733</v>
      </c>
      <c r="E620" s="14" t="s">
        <v>289</v>
      </c>
      <c r="F620" s="66">
        <f t="shared" si="26"/>
        <v>0</v>
      </c>
      <c r="G620" s="66">
        <v>0</v>
      </c>
      <c r="H620" s="66"/>
    </row>
    <row r="621" spans="1:8" ht="64.5" customHeight="1" hidden="1">
      <c r="A621" s="64" t="s">
        <v>771</v>
      </c>
      <c r="B621" s="21" t="s">
        <v>166</v>
      </c>
      <c r="C621" s="21" t="s">
        <v>150</v>
      </c>
      <c r="D621" s="21" t="s">
        <v>91</v>
      </c>
      <c r="E621" s="21" t="s">
        <v>414</v>
      </c>
      <c r="F621" s="117">
        <f>G621+H621</f>
        <v>0</v>
      </c>
      <c r="G621" s="117">
        <f>G625</f>
        <v>0</v>
      </c>
      <c r="H621" s="117">
        <f>H622</f>
        <v>0</v>
      </c>
    </row>
    <row r="622" spans="1:8" ht="96.75" customHeight="1" hidden="1">
      <c r="A622" s="48" t="s">
        <v>773</v>
      </c>
      <c r="B622" s="30" t="s">
        <v>166</v>
      </c>
      <c r="C622" s="30" t="s">
        <v>150</v>
      </c>
      <c r="D622" s="30" t="s">
        <v>772</v>
      </c>
      <c r="E622" s="30" t="s">
        <v>414</v>
      </c>
      <c r="F622" s="67">
        <f aca="true" t="shared" si="27" ref="F622:F627">G622+H622</f>
        <v>0</v>
      </c>
      <c r="G622" s="67"/>
      <c r="H622" s="67">
        <f>H623</f>
        <v>0</v>
      </c>
    </row>
    <row r="623" spans="1:8" ht="36" customHeight="1" hidden="1">
      <c r="A623" s="29" t="s">
        <v>189</v>
      </c>
      <c r="B623" s="14" t="s">
        <v>166</v>
      </c>
      <c r="C623" s="14" t="s">
        <v>150</v>
      </c>
      <c r="D623" s="14" t="s">
        <v>772</v>
      </c>
      <c r="E623" s="14" t="s">
        <v>157</v>
      </c>
      <c r="F623" s="66">
        <f t="shared" si="27"/>
        <v>0</v>
      </c>
      <c r="G623" s="66"/>
      <c r="H623" s="66">
        <f>H624</f>
        <v>0</v>
      </c>
    </row>
    <row r="624" spans="1:8" ht="48" customHeight="1" hidden="1">
      <c r="A624" s="54" t="s">
        <v>190</v>
      </c>
      <c r="B624" s="14" t="s">
        <v>166</v>
      </c>
      <c r="C624" s="14" t="s">
        <v>150</v>
      </c>
      <c r="D624" s="14" t="s">
        <v>772</v>
      </c>
      <c r="E624" s="14" t="s">
        <v>191</v>
      </c>
      <c r="F624" s="66">
        <f t="shared" si="27"/>
        <v>0</v>
      </c>
      <c r="G624" s="66"/>
      <c r="H624" s="66">
        <v>0</v>
      </c>
    </row>
    <row r="625" spans="1:8" ht="114.75" customHeight="1" hidden="1">
      <c r="A625" s="33" t="s">
        <v>774</v>
      </c>
      <c r="B625" s="30" t="s">
        <v>166</v>
      </c>
      <c r="C625" s="30" t="s">
        <v>150</v>
      </c>
      <c r="D625" s="30" t="s">
        <v>775</v>
      </c>
      <c r="E625" s="30" t="s">
        <v>414</v>
      </c>
      <c r="F625" s="67">
        <f t="shared" si="27"/>
        <v>0</v>
      </c>
      <c r="G625" s="67">
        <f>G626</f>
        <v>0</v>
      </c>
      <c r="H625" s="67"/>
    </row>
    <row r="626" spans="1:8" ht="36" customHeight="1" hidden="1">
      <c r="A626" s="29" t="s">
        <v>189</v>
      </c>
      <c r="B626" s="14" t="s">
        <v>166</v>
      </c>
      <c r="C626" s="14" t="s">
        <v>150</v>
      </c>
      <c r="D626" s="14" t="s">
        <v>775</v>
      </c>
      <c r="E626" s="14" t="s">
        <v>157</v>
      </c>
      <c r="F626" s="66">
        <f t="shared" si="27"/>
        <v>0</v>
      </c>
      <c r="G626" s="66">
        <f>G627</f>
        <v>0</v>
      </c>
      <c r="H626" s="66"/>
    </row>
    <row r="627" spans="1:8" ht="47.25" customHeight="1" hidden="1">
      <c r="A627" s="54" t="s">
        <v>190</v>
      </c>
      <c r="B627" s="14" t="s">
        <v>166</v>
      </c>
      <c r="C627" s="14" t="s">
        <v>150</v>
      </c>
      <c r="D627" s="14" t="s">
        <v>775</v>
      </c>
      <c r="E627" s="14" t="s">
        <v>191</v>
      </c>
      <c r="F627" s="66">
        <f t="shared" si="27"/>
        <v>0</v>
      </c>
      <c r="G627" s="66">
        <v>0</v>
      </c>
      <c r="H627" s="66"/>
    </row>
    <row r="628" spans="1:8" s="166" customFormat="1" ht="49.5" customHeight="1">
      <c r="A628" s="64" t="s">
        <v>236</v>
      </c>
      <c r="B628" s="21" t="s">
        <v>168</v>
      </c>
      <c r="C628" s="21" t="s">
        <v>149</v>
      </c>
      <c r="D628" s="21" t="s">
        <v>322</v>
      </c>
      <c r="E628" s="21" t="s">
        <v>414</v>
      </c>
      <c r="F628" s="117">
        <f aca="true" t="shared" si="28" ref="F628:F643">G628+H628</f>
        <v>801.73</v>
      </c>
      <c r="G628" s="117">
        <f>G629</f>
        <v>801.73</v>
      </c>
      <c r="H628" s="117">
        <f>H629</f>
        <v>0</v>
      </c>
    </row>
    <row r="629" spans="1:8" ht="33.75" customHeight="1">
      <c r="A629" s="29" t="s">
        <v>420</v>
      </c>
      <c r="B629" s="14" t="s">
        <v>168</v>
      </c>
      <c r="C629" s="14" t="s">
        <v>148</v>
      </c>
      <c r="D629" s="14" t="s">
        <v>322</v>
      </c>
      <c r="E629" s="14" t="s">
        <v>414</v>
      </c>
      <c r="F629" s="66">
        <f t="shared" si="28"/>
        <v>801.73</v>
      </c>
      <c r="G629" s="66">
        <f>G630</f>
        <v>801.73</v>
      </c>
      <c r="H629" s="66">
        <f>H631</f>
        <v>0</v>
      </c>
    </row>
    <row r="630" spans="1:8" ht="78" customHeight="1">
      <c r="A630" s="33" t="s">
        <v>552</v>
      </c>
      <c r="B630" s="30" t="s">
        <v>168</v>
      </c>
      <c r="C630" s="30" t="s">
        <v>148</v>
      </c>
      <c r="D630" s="30" t="s">
        <v>534</v>
      </c>
      <c r="E630" s="30" t="s">
        <v>414</v>
      </c>
      <c r="F630" s="67">
        <f t="shared" si="28"/>
        <v>801.73</v>
      </c>
      <c r="G630" s="67">
        <f>G631</f>
        <v>801.73</v>
      </c>
      <c r="H630" s="67">
        <v>0</v>
      </c>
    </row>
    <row r="631" spans="1:8" ht="33" customHeight="1">
      <c r="A631" s="29" t="s">
        <v>359</v>
      </c>
      <c r="B631" s="14" t="s">
        <v>168</v>
      </c>
      <c r="C631" s="14" t="s">
        <v>148</v>
      </c>
      <c r="D631" s="14" t="s">
        <v>529</v>
      </c>
      <c r="E631" s="14" t="s">
        <v>414</v>
      </c>
      <c r="F631" s="66">
        <f t="shared" si="28"/>
        <v>801.73</v>
      </c>
      <c r="G631" s="66">
        <f>G632</f>
        <v>801.73</v>
      </c>
      <c r="H631" s="66">
        <f>H632</f>
        <v>0</v>
      </c>
    </row>
    <row r="632" spans="1:8" ht="33" customHeight="1">
      <c r="A632" s="29" t="s">
        <v>539</v>
      </c>
      <c r="B632" s="14" t="s">
        <v>168</v>
      </c>
      <c r="C632" s="14" t="s">
        <v>148</v>
      </c>
      <c r="D632" s="14" t="s">
        <v>529</v>
      </c>
      <c r="E632" s="14" t="s">
        <v>414</v>
      </c>
      <c r="F632" s="66">
        <f t="shared" si="28"/>
        <v>801.73</v>
      </c>
      <c r="G632" s="66">
        <f>G633</f>
        <v>801.73</v>
      </c>
      <c r="H632" s="66">
        <f>H634</f>
        <v>0</v>
      </c>
    </row>
    <row r="633" spans="1:8" ht="33" customHeight="1">
      <c r="A633" s="29" t="s">
        <v>208</v>
      </c>
      <c r="B633" s="14" t="s">
        <v>168</v>
      </c>
      <c r="C633" s="14" t="s">
        <v>148</v>
      </c>
      <c r="D633" s="14" t="s">
        <v>529</v>
      </c>
      <c r="E633" s="14" t="s">
        <v>209</v>
      </c>
      <c r="F633" s="66">
        <f t="shared" si="28"/>
        <v>801.73</v>
      </c>
      <c r="G633" s="66">
        <f>G634</f>
        <v>801.73</v>
      </c>
      <c r="H633" s="66"/>
    </row>
    <row r="634" spans="1:8" ht="17.25" customHeight="1">
      <c r="A634" s="29" t="s">
        <v>238</v>
      </c>
      <c r="B634" s="14" t="s">
        <v>168</v>
      </c>
      <c r="C634" s="14" t="s">
        <v>148</v>
      </c>
      <c r="D634" s="14" t="s">
        <v>529</v>
      </c>
      <c r="E634" s="14" t="s">
        <v>335</v>
      </c>
      <c r="F634" s="66">
        <f t="shared" si="28"/>
        <v>801.73</v>
      </c>
      <c r="G634" s="66">
        <f>1090-288.27</f>
        <v>801.73</v>
      </c>
      <c r="H634" s="66"/>
    </row>
    <row r="635" spans="1:8" s="166" customFormat="1" ht="78.75" customHeight="1">
      <c r="A635" s="64" t="s">
        <v>239</v>
      </c>
      <c r="B635" s="21" t="s">
        <v>240</v>
      </c>
      <c r="C635" s="21" t="s">
        <v>149</v>
      </c>
      <c r="D635" s="21" t="s">
        <v>322</v>
      </c>
      <c r="E635" s="21" t="s">
        <v>414</v>
      </c>
      <c r="F635" s="117">
        <f t="shared" si="28"/>
        <v>20599.051</v>
      </c>
      <c r="G635" s="117">
        <f>G637+G644+G646+G650</f>
        <v>9307.974999999999</v>
      </c>
      <c r="H635" s="117">
        <f>H637+H646</f>
        <v>11291.076</v>
      </c>
    </row>
    <row r="636" spans="1:8" s="166" customFormat="1" ht="79.5" customHeight="1">
      <c r="A636" s="33" t="s">
        <v>552</v>
      </c>
      <c r="B636" s="61" t="s">
        <v>240</v>
      </c>
      <c r="C636" s="61" t="s">
        <v>149</v>
      </c>
      <c r="D636" s="61" t="s">
        <v>534</v>
      </c>
      <c r="E636" s="61" t="s">
        <v>414</v>
      </c>
      <c r="F636" s="114">
        <f t="shared" si="28"/>
        <v>20599.051</v>
      </c>
      <c r="G636" s="114">
        <f>G637+G645+G647+G651</f>
        <v>9307.974999999999</v>
      </c>
      <c r="H636" s="114">
        <f>H638+H647</f>
        <v>11291.076</v>
      </c>
    </row>
    <row r="637" spans="1:8" ht="48.75" customHeight="1">
      <c r="A637" s="29" t="s">
        <v>241</v>
      </c>
      <c r="B637" s="14" t="s">
        <v>240</v>
      </c>
      <c r="C637" s="14" t="s">
        <v>148</v>
      </c>
      <c r="D637" s="14" t="s">
        <v>534</v>
      </c>
      <c r="E637" s="14" t="s">
        <v>414</v>
      </c>
      <c r="F637" s="66">
        <f t="shared" si="28"/>
        <v>19879.051</v>
      </c>
      <c r="G637" s="66">
        <f>G642</f>
        <v>8587.974999999999</v>
      </c>
      <c r="H637" s="66">
        <f>H638</f>
        <v>11291.076</v>
      </c>
    </row>
    <row r="638" spans="1:9" ht="50.25" customHeight="1">
      <c r="A638" s="33" t="s">
        <v>242</v>
      </c>
      <c r="B638" s="30" t="s">
        <v>240</v>
      </c>
      <c r="C638" s="30" t="s">
        <v>148</v>
      </c>
      <c r="D638" s="30" t="s">
        <v>526</v>
      </c>
      <c r="E638" s="30" t="s">
        <v>414</v>
      </c>
      <c r="F638" s="67">
        <f t="shared" si="28"/>
        <v>11291.076</v>
      </c>
      <c r="G638" s="67">
        <f>G639</f>
        <v>0</v>
      </c>
      <c r="H638" s="67">
        <f>H639</f>
        <v>11291.076</v>
      </c>
      <c r="I638" s="155"/>
    </row>
    <row r="639" spans="1:8" ht="18.75" customHeight="1">
      <c r="A639" s="29" t="s">
        <v>200</v>
      </c>
      <c r="B639" s="14" t="s">
        <v>240</v>
      </c>
      <c r="C639" s="14" t="s">
        <v>148</v>
      </c>
      <c r="D639" s="14" t="s">
        <v>526</v>
      </c>
      <c r="E639" s="14" t="s">
        <v>414</v>
      </c>
      <c r="F639" s="66">
        <f t="shared" si="28"/>
        <v>11291.076</v>
      </c>
      <c r="G639" s="66">
        <f>G640</f>
        <v>0</v>
      </c>
      <c r="H639" s="66">
        <f>H640+H642</f>
        <v>11291.076</v>
      </c>
    </row>
    <row r="640" spans="1:8" ht="96" customHeight="1">
      <c r="A640" s="29" t="s">
        <v>338</v>
      </c>
      <c r="B640" s="14" t="s">
        <v>240</v>
      </c>
      <c r="C640" s="14" t="s">
        <v>148</v>
      </c>
      <c r="D640" s="14" t="s">
        <v>526</v>
      </c>
      <c r="E640" s="14" t="s">
        <v>414</v>
      </c>
      <c r="F640" s="66">
        <f t="shared" si="28"/>
        <v>11291.076</v>
      </c>
      <c r="G640" s="66">
        <f>G641</f>
        <v>0</v>
      </c>
      <c r="H640" s="66">
        <f>H641</f>
        <v>11291.076</v>
      </c>
    </row>
    <row r="641" spans="1:8" ht="18" customHeight="1">
      <c r="A641" s="29" t="s">
        <v>210</v>
      </c>
      <c r="B641" s="14" t="s">
        <v>240</v>
      </c>
      <c r="C641" s="14" t="s">
        <v>148</v>
      </c>
      <c r="D641" s="14" t="s">
        <v>526</v>
      </c>
      <c r="E641" s="14" t="s">
        <v>211</v>
      </c>
      <c r="F641" s="66">
        <f t="shared" si="28"/>
        <v>11291.076</v>
      </c>
      <c r="G641" s="66">
        <v>0</v>
      </c>
      <c r="H641" s="66">
        <v>11291.076</v>
      </c>
    </row>
    <row r="642" spans="1:8" ht="51" customHeight="1">
      <c r="A642" s="33" t="s">
        <v>315</v>
      </c>
      <c r="B642" s="30" t="s">
        <v>240</v>
      </c>
      <c r="C642" s="30" t="s">
        <v>148</v>
      </c>
      <c r="D642" s="30" t="s">
        <v>527</v>
      </c>
      <c r="E642" s="30" t="s">
        <v>414</v>
      </c>
      <c r="F642" s="67">
        <f t="shared" si="28"/>
        <v>8587.974999999999</v>
      </c>
      <c r="G642" s="67">
        <f>G643</f>
        <v>8587.974999999999</v>
      </c>
      <c r="H642" s="67">
        <f>H643</f>
        <v>0</v>
      </c>
    </row>
    <row r="643" spans="1:8" ht="16.5" customHeight="1">
      <c r="A643" s="29" t="s">
        <v>210</v>
      </c>
      <c r="B643" s="14" t="s">
        <v>240</v>
      </c>
      <c r="C643" s="14" t="s">
        <v>148</v>
      </c>
      <c r="D643" s="14" t="s">
        <v>527</v>
      </c>
      <c r="E643" s="14" t="s">
        <v>211</v>
      </c>
      <c r="F643" s="66">
        <f t="shared" si="28"/>
        <v>8587.974999999999</v>
      </c>
      <c r="G643" s="66">
        <f>8375.417+212.558</f>
        <v>8587.974999999999</v>
      </c>
      <c r="H643" s="66"/>
    </row>
    <row r="644" spans="1:8" ht="48" customHeight="1" hidden="1">
      <c r="A644" s="29" t="s">
        <v>315</v>
      </c>
      <c r="B644" s="14" t="s">
        <v>240</v>
      </c>
      <c r="C644" s="14" t="s">
        <v>148</v>
      </c>
      <c r="D644" s="14" t="s">
        <v>20</v>
      </c>
      <c r="E644" s="14" t="s">
        <v>414</v>
      </c>
      <c r="F644" s="66">
        <f>G644</f>
        <v>0</v>
      </c>
      <c r="G644" s="66">
        <f>G645</f>
        <v>0</v>
      </c>
      <c r="H644" s="66">
        <f>H645</f>
        <v>0</v>
      </c>
    </row>
    <row r="645" spans="1:8" ht="17.25" customHeight="1" hidden="1">
      <c r="A645" s="29" t="s">
        <v>198</v>
      </c>
      <c r="B645" s="14" t="s">
        <v>240</v>
      </c>
      <c r="C645" s="14" t="s">
        <v>148</v>
      </c>
      <c r="D645" s="14" t="s">
        <v>20</v>
      </c>
      <c r="E645" s="14" t="s">
        <v>211</v>
      </c>
      <c r="F645" s="66">
        <f>G645</f>
        <v>0</v>
      </c>
      <c r="G645" s="66"/>
      <c r="H645" s="66"/>
    </row>
    <row r="646" spans="1:8" ht="33" customHeight="1">
      <c r="A646" s="33" t="s">
        <v>349</v>
      </c>
      <c r="B646" s="30" t="s">
        <v>240</v>
      </c>
      <c r="C646" s="30" t="s">
        <v>155</v>
      </c>
      <c r="D646" s="30" t="s">
        <v>534</v>
      </c>
      <c r="E646" s="30" t="s">
        <v>414</v>
      </c>
      <c r="F646" s="67">
        <f>G646+H646</f>
        <v>720</v>
      </c>
      <c r="G646" s="67">
        <f>G647</f>
        <v>720</v>
      </c>
      <c r="H646" s="67">
        <f>H647</f>
        <v>0</v>
      </c>
    </row>
    <row r="647" spans="1:8" ht="33" customHeight="1">
      <c r="A647" s="29" t="s">
        <v>461</v>
      </c>
      <c r="B647" s="14" t="s">
        <v>240</v>
      </c>
      <c r="C647" s="14" t="s">
        <v>155</v>
      </c>
      <c r="D647" s="14" t="s">
        <v>534</v>
      </c>
      <c r="E647" s="14" t="s">
        <v>414</v>
      </c>
      <c r="F647" s="66">
        <f>G647+H647</f>
        <v>720</v>
      </c>
      <c r="G647" s="66">
        <f>G648</f>
        <v>720</v>
      </c>
      <c r="H647" s="66">
        <f>H649</f>
        <v>0</v>
      </c>
    </row>
    <row r="648" spans="1:8" ht="18.75" customHeight="1">
      <c r="A648" s="29" t="s">
        <v>200</v>
      </c>
      <c r="B648" s="14" t="s">
        <v>240</v>
      </c>
      <c r="C648" s="14" t="s">
        <v>155</v>
      </c>
      <c r="D648" s="14" t="s">
        <v>534</v>
      </c>
      <c r="E648" s="14" t="s">
        <v>201</v>
      </c>
      <c r="F648" s="66">
        <f>G648+H648</f>
        <v>720</v>
      </c>
      <c r="G648" s="66">
        <f>G649+G653</f>
        <v>720</v>
      </c>
      <c r="H648" s="66"/>
    </row>
    <row r="649" spans="1:8" ht="17.25" customHeight="1">
      <c r="A649" s="29" t="s">
        <v>304</v>
      </c>
      <c r="B649" s="14" t="s">
        <v>240</v>
      </c>
      <c r="C649" s="14" t="s">
        <v>155</v>
      </c>
      <c r="D649" s="14" t="s">
        <v>528</v>
      </c>
      <c r="E649" s="14" t="s">
        <v>460</v>
      </c>
      <c r="F649" s="66">
        <f>G649+H649</f>
        <v>720</v>
      </c>
      <c r="G649" s="66">
        <f>450+170+100</f>
        <v>720</v>
      </c>
      <c r="H649" s="66"/>
    </row>
    <row r="650" spans="1:8" ht="32.25" customHeight="1" hidden="1">
      <c r="A650" s="29" t="s">
        <v>349</v>
      </c>
      <c r="B650" s="14" t="s">
        <v>240</v>
      </c>
      <c r="C650" s="14" t="s">
        <v>155</v>
      </c>
      <c r="D650" s="14" t="s">
        <v>528</v>
      </c>
      <c r="E650" s="14" t="s">
        <v>460</v>
      </c>
      <c r="F650" s="66">
        <f>G650</f>
        <v>0</v>
      </c>
      <c r="G650" s="66">
        <f>G651</f>
        <v>0</v>
      </c>
      <c r="H650" s="66"/>
    </row>
    <row r="651" spans="1:8" ht="24.75" customHeight="1" hidden="1">
      <c r="A651" s="29" t="s">
        <v>200</v>
      </c>
      <c r="B651" s="14" t="s">
        <v>240</v>
      </c>
      <c r="C651" s="14" t="s">
        <v>155</v>
      </c>
      <c r="D651" s="14" t="s">
        <v>528</v>
      </c>
      <c r="E651" s="14" t="s">
        <v>460</v>
      </c>
      <c r="F651" s="66">
        <f>G651</f>
        <v>0</v>
      </c>
      <c r="G651" s="66">
        <f>G652</f>
        <v>0</v>
      </c>
      <c r="H651" s="66"/>
    </row>
    <row r="652" spans="1:8" ht="147.75" customHeight="1" hidden="1">
      <c r="A652" s="29" t="s">
        <v>516</v>
      </c>
      <c r="B652" s="14" t="s">
        <v>240</v>
      </c>
      <c r="C652" s="14" t="s">
        <v>155</v>
      </c>
      <c r="D652" s="14" t="s">
        <v>528</v>
      </c>
      <c r="E652" s="14" t="s">
        <v>460</v>
      </c>
      <c r="F652" s="66">
        <f>G652</f>
        <v>0</v>
      </c>
      <c r="G652" s="66"/>
      <c r="H652" s="66"/>
    </row>
    <row r="653" spans="1:8" ht="82.5" customHeight="1" hidden="1">
      <c r="A653" s="29" t="s">
        <v>702</v>
      </c>
      <c r="B653" s="14" t="s">
        <v>240</v>
      </c>
      <c r="C653" s="14" t="s">
        <v>155</v>
      </c>
      <c r="D653" s="14" t="s">
        <v>742</v>
      </c>
      <c r="E653" s="14" t="s">
        <v>460</v>
      </c>
      <c r="F653" s="66">
        <f>G653</f>
        <v>0</v>
      </c>
      <c r="G653" s="66">
        <v>0</v>
      </c>
      <c r="H653" s="66"/>
    </row>
    <row r="654" spans="1:9" ht="18" customHeight="1">
      <c r="A654" s="64" t="s">
        <v>246</v>
      </c>
      <c r="B654" s="4"/>
      <c r="C654" s="4"/>
      <c r="D654" s="4"/>
      <c r="E654" s="4"/>
      <c r="F654" s="117">
        <f>H654+G654</f>
        <v>624918.3171399999</v>
      </c>
      <c r="G654" s="117">
        <f>G13+G183+G189+G205+G210+G257+G304+G485+G590+G628+G635+G544</f>
        <v>311118.97013</v>
      </c>
      <c r="H654" s="117">
        <f>H13+H183+H189+H205+H210+H257+H304+H485+H590+H628+H635+H544</f>
        <v>313799.34700999997</v>
      </c>
      <c r="I654" s="155"/>
    </row>
    <row r="655" spans="1:8" ht="15">
      <c r="A655" s="9"/>
      <c r="B655" s="9"/>
      <c r="C655" s="159"/>
      <c r="D655" s="160"/>
      <c r="E655" s="159"/>
      <c r="F655" s="151"/>
      <c r="G655" s="151"/>
      <c r="H655" s="151"/>
    </row>
    <row r="656" spans="4:8" ht="15">
      <c r="D656" s="213"/>
      <c r="E656" s="204"/>
      <c r="F656" s="68"/>
      <c r="G656" s="68"/>
      <c r="H656" s="68"/>
    </row>
    <row r="657" spans="4:8" ht="15">
      <c r="D657" s="215"/>
      <c r="E657" s="175"/>
      <c r="F657" s="68"/>
      <c r="G657" s="68"/>
      <c r="H657" s="68"/>
    </row>
    <row r="658" spans="4:11" ht="15">
      <c r="D658" s="286"/>
      <c r="F658" s="68"/>
      <c r="G658" s="68"/>
      <c r="H658" s="68"/>
      <c r="J658" s="155"/>
      <c r="K658" s="151"/>
    </row>
    <row r="659" spans="4:8" ht="15.75">
      <c r="D659" s="287"/>
      <c r="E659" s="287"/>
      <c r="F659" s="216"/>
      <c r="G659" s="216"/>
      <c r="H659" s="216"/>
    </row>
    <row r="660" spans="6:8" ht="15">
      <c r="F660" s="155"/>
      <c r="G660" s="155"/>
      <c r="H660" s="155"/>
    </row>
  </sheetData>
  <sheetProtection/>
  <mergeCells count="14">
    <mergeCell ref="A8:H8"/>
    <mergeCell ref="A10:A11"/>
    <mergeCell ref="B10:B11"/>
    <mergeCell ref="C10:C11"/>
    <mergeCell ref="D10:D11"/>
    <mergeCell ref="E10:E11"/>
    <mergeCell ref="F10:F11"/>
    <mergeCell ref="G10:H10"/>
    <mergeCell ref="F1:H1"/>
    <mergeCell ref="F2:H2"/>
    <mergeCell ref="F3:H3"/>
    <mergeCell ref="F4:H4"/>
    <mergeCell ref="A6:H6"/>
    <mergeCell ref="A7:H7"/>
  </mergeCells>
  <printOptions/>
  <pageMargins left="0.2362204724409449" right="0.2362204724409449" top="0.7480314960629921" bottom="0.7480314960629921" header="0.31496062992125984" footer="0.31496062992125984"/>
  <pageSetup fitToHeight="0" horizontalDpi="600" verticalDpi="600" orientation="portrait" paperSize="9" scale="50" r:id="rId1"/>
  <rowBreaks count="5" manualBreakCount="5">
    <brk id="337" max="7" man="1"/>
    <brk id="395" max="7" man="1"/>
    <brk id="439" max="7" man="1"/>
    <brk id="504" max="7" man="1"/>
    <brk id="551" max="7" man="1"/>
  </rowBreaks>
</worksheet>
</file>

<file path=xl/worksheets/sheet4.xml><?xml version="1.0" encoding="utf-8"?>
<worksheet xmlns="http://schemas.openxmlformats.org/spreadsheetml/2006/main" xmlns:r="http://schemas.openxmlformats.org/officeDocument/2006/relationships">
  <sheetPr>
    <tabColor rgb="FFFF0000"/>
  </sheetPr>
  <dimension ref="A1:L693"/>
  <sheetViews>
    <sheetView view="pageBreakPreview" zoomScale="90" zoomScaleSheetLayoutView="90" zoomScalePageLayoutView="0" workbookViewId="0" topLeftCell="A660">
      <selection activeCell="A660" sqref="A1:IV16384"/>
    </sheetView>
  </sheetViews>
  <sheetFormatPr defaultColWidth="8.625" defaultRowHeight="12.75"/>
  <cols>
    <col min="1" max="1" width="43.375" style="69" customWidth="1"/>
    <col min="2" max="2" width="5.50390625" style="27" customWidth="1"/>
    <col min="3" max="3" width="4.625" style="27" customWidth="1"/>
    <col min="4" max="4" width="5.375" style="27" customWidth="1"/>
    <col min="5" max="5" width="13.625" style="27" customWidth="1"/>
    <col min="6" max="6" width="5.375" style="27" customWidth="1"/>
    <col min="7" max="7" width="17.625" style="27" customWidth="1"/>
    <col min="8" max="8" width="18.375" style="27" customWidth="1"/>
    <col min="9" max="9" width="16.625" style="27" customWidth="1"/>
    <col min="10" max="10" width="14.00390625" style="27" customWidth="1"/>
    <col min="11" max="12" width="13.50390625" style="27" bestFit="1" customWidth="1"/>
    <col min="13" max="16384" width="8.625" style="27" customWidth="1"/>
  </cols>
  <sheetData>
    <row r="1" spans="2:9" ht="13.5">
      <c r="B1" s="206"/>
      <c r="C1" s="206"/>
      <c r="D1" s="206"/>
      <c r="F1" s="206"/>
      <c r="G1" s="267" t="s">
        <v>911</v>
      </c>
      <c r="H1" s="267"/>
      <c r="I1" s="267"/>
    </row>
    <row r="2" spans="2:9" ht="13.5">
      <c r="B2" s="28"/>
      <c r="C2" s="28"/>
      <c r="D2" s="28"/>
      <c r="E2" s="28"/>
      <c r="F2" s="267" t="s">
        <v>410</v>
      </c>
      <c r="G2" s="267"/>
      <c r="H2" s="267"/>
      <c r="I2" s="267"/>
    </row>
    <row r="3" spans="2:9" ht="13.5">
      <c r="B3" s="267"/>
      <c r="C3" s="267"/>
      <c r="D3" s="267"/>
      <c r="E3" s="267"/>
      <c r="F3" s="267"/>
      <c r="G3" s="267" t="s">
        <v>411</v>
      </c>
      <c r="H3" s="267"/>
      <c r="I3" s="267"/>
    </row>
    <row r="4" spans="2:9" ht="13.5">
      <c r="B4" s="268"/>
      <c r="C4" s="268"/>
      <c r="D4" s="268"/>
      <c r="E4" s="268"/>
      <c r="F4" s="268"/>
      <c r="G4" s="268" t="s">
        <v>964</v>
      </c>
      <c r="H4" s="268"/>
      <c r="I4" s="268"/>
    </row>
    <row r="6" spans="1:9" ht="13.5">
      <c r="A6" s="269" t="s">
        <v>412</v>
      </c>
      <c r="B6" s="269"/>
      <c r="C6" s="269"/>
      <c r="D6" s="269"/>
      <c r="E6" s="269"/>
      <c r="F6" s="269"/>
      <c r="G6" s="269"/>
      <c r="H6" s="269"/>
      <c r="I6" s="269"/>
    </row>
    <row r="7" spans="1:9" ht="35.25" customHeight="1">
      <c r="A7" s="270" t="s">
        <v>864</v>
      </c>
      <c r="B7" s="270"/>
      <c r="C7" s="270"/>
      <c r="D7" s="270"/>
      <c r="E7" s="270"/>
      <c r="F7" s="270"/>
      <c r="G7" s="270"/>
      <c r="H7" s="270"/>
      <c r="I7" s="270"/>
    </row>
    <row r="9" ht="13.5">
      <c r="I9" s="112" t="s">
        <v>137</v>
      </c>
    </row>
    <row r="10" spans="1:9" ht="13.5">
      <c r="A10" s="246" t="s">
        <v>350</v>
      </c>
      <c r="B10" s="246" t="s">
        <v>351</v>
      </c>
      <c r="C10" s="250" t="s">
        <v>144</v>
      </c>
      <c r="D10" s="250" t="s">
        <v>145</v>
      </c>
      <c r="E10" s="246" t="s">
        <v>352</v>
      </c>
      <c r="F10" s="246" t="s">
        <v>353</v>
      </c>
      <c r="G10" s="246" t="s">
        <v>523</v>
      </c>
      <c r="H10" s="246" t="s">
        <v>354</v>
      </c>
      <c r="I10" s="246"/>
    </row>
    <row r="11" spans="1:9" ht="13.5">
      <c r="A11" s="246"/>
      <c r="B11" s="246"/>
      <c r="C11" s="250"/>
      <c r="D11" s="250"/>
      <c r="E11" s="246"/>
      <c r="F11" s="246"/>
      <c r="G11" s="246"/>
      <c r="H11" s="60" t="s">
        <v>355</v>
      </c>
      <c r="I11" s="60" t="s">
        <v>290</v>
      </c>
    </row>
    <row r="12" spans="1:9" ht="30.75" customHeight="1">
      <c r="A12" s="240" t="s">
        <v>356</v>
      </c>
      <c r="B12" s="173">
        <v>951</v>
      </c>
      <c r="C12" s="173" t="s">
        <v>149</v>
      </c>
      <c r="D12" s="173" t="s">
        <v>149</v>
      </c>
      <c r="E12" s="173" t="s">
        <v>322</v>
      </c>
      <c r="F12" s="173" t="s">
        <v>414</v>
      </c>
      <c r="G12" s="93">
        <f>I12+H12</f>
        <v>144658.91966999997</v>
      </c>
      <c r="H12" s="93">
        <f>H13+H136+H141+H157+H162+H209+H257+H311+H368+H403+H430</f>
        <v>95585.12009</v>
      </c>
      <c r="I12" s="93">
        <f>I13+I136+I141+I157+I162+I209+I257+I311+I368+I403+I430</f>
        <v>49073.79957999999</v>
      </c>
    </row>
    <row r="13" spans="1:12" ht="18" customHeight="1">
      <c r="A13" s="240" t="s">
        <v>357</v>
      </c>
      <c r="B13" s="173">
        <v>951</v>
      </c>
      <c r="C13" s="173" t="s">
        <v>148</v>
      </c>
      <c r="D13" s="173" t="s">
        <v>149</v>
      </c>
      <c r="E13" s="173" t="s">
        <v>322</v>
      </c>
      <c r="F13" s="173" t="s">
        <v>414</v>
      </c>
      <c r="G13" s="93">
        <f>H13+I13</f>
        <v>33465.74461</v>
      </c>
      <c r="H13" s="93">
        <f>H14+H20+H30+H37+H43+H34</f>
        <v>27834.919009999998</v>
      </c>
      <c r="I13" s="93">
        <f>I14+I20+I30+I37+I43+I34</f>
        <v>5630.825600000001</v>
      </c>
      <c r="K13" s="288"/>
      <c r="L13" s="84"/>
    </row>
    <row r="14" spans="1:11" ht="44.25" customHeight="1">
      <c r="A14" s="52" t="s">
        <v>358</v>
      </c>
      <c r="B14" s="22">
        <v>951</v>
      </c>
      <c r="C14" s="37" t="s">
        <v>148</v>
      </c>
      <c r="D14" s="37" t="s">
        <v>150</v>
      </c>
      <c r="E14" s="37" t="s">
        <v>322</v>
      </c>
      <c r="F14" s="37" t="s">
        <v>414</v>
      </c>
      <c r="G14" s="85">
        <f>H14+I14</f>
        <v>1836.31</v>
      </c>
      <c r="H14" s="85">
        <f aca="true" t="shared" si="0" ref="H14:I18">H15</f>
        <v>1836.31</v>
      </c>
      <c r="I14" s="85">
        <f t="shared" si="0"/>
        <v>0</v>
      </c>
      <c r="J14" s="84"/>
      <c r="K14" s="84"/>
    </row>
    <row r="15" spans="1:9" ht="32.25" customHeight="1">
      <c r="A15" s="52" t="s">
        <v>151</v>
      </c>
      <c r="B15" s="22">
        <v>951</v>
      </c>
      <c r="C15" s="37" t="s">
        <v>148</v>
      </c>
      <c r="D15" s="37" t="s">
        <v>150</v>
      </c>
      <c r="E15" s="37" t="s">
        <v>10</v>
      </c>
      <c r="F15" s="37" t="s">
        <v>414</v>
      </c>
      <c r="G15" s="85">
        <f aca="true" t="shared" si="1" ref="G15:G138">H15+I15</f>
        <v>1836.31</v>
      </c>
      <c r="H15" s="85">
        <f t="shared" si="0"/>
        <v>1836.31</v>
      </c>
      <c r="I15" s="85">
        <f t="shared" si="0"/>
        <v>0</v>
      </c>
    </row>
    <row r="16" spans="1:9" ht="45.75" customHeight="1">
      <c r="A16" s="52" t="s">
        <v>152</v>
      </c>
      <c r="B16" s="22">
        <v>951</v>
      </c>
      <c r="C16" s="37" t="s">
        <v>148</v>
      </c>
      <c r="D16" s="37" t="s">
        <v>150</v>
      </c>
      <c r="E16" s="37" t="s">
        <v>11</v>
      </c>
      <c r="F16" s="37" t="s">
        <v>414</v>
      </c>
      <c r="G16" s="85">
        <f t="shared" si="1"/>
        <v>1836.31</v>
      </c>
      <c r="H16" s="85">
        <f t="shared" si="0"/>
        <v>1836.31</v>
      </c>
      <c r="I16" s="85">
        <f t="shared" si="0"/>
        <v>0</v>
      </c>
    </row>
    <row r="17" spans="1:9" ht="16.5" customHeight="1">
      <c r="A17" s="52" t="s">
        <v>419</v>
      </c>
      <c r="B17" s="22">
        <v>951</v>
      </c>
      <c r="C17" s="37" t="s">
        <v>148</v>
      </c>
      <c r="D17" s="37" t="s">
        <v>150</v>
      </c>
      <c r="E17" s="37" t="s">
        <v>12</v>
      </c>
      <c r="F17" s="37" t="s">
        <v>414</v>
      </c>
      <c r="G17" s="85">
        <f t="shared" si="1"/>
        <v>1836.31</v>
      </c>
      <c r="H17" s="85">
        <f t="shared" si="0"/>
        <v>1836.31</v>
      </c>
      <c r="I17" s="85">
        <f t="shared" si="0"/>
        <v>0</v>
      </c>
    </row>
    <row r="18" spans="1:9" ht="81" customHeight="1">
      <c r="A18" s="17" t="s">
        <v>186</v>
      </c>
      <c r="B18" s="22">
        <v>951</v>
      </c>
      <c r="C18" s="37" t="s">
        <v>148</v>
      </c>
      <c r="D18" s="37" t="s">
        <v>150</v>
      </c>
      <c r="E18" s="37" t="s">
        <v>12</v>
      </c>
      <c r="F18" s="37" t="s">
        <v>153</v>
      </c>
      <c r="G18" s="85">
        <f t="shared" si="1"/>
        <v>1836.31</v>
      </c>
      <c r="H18" s="85">
        <f t="shared" si="0"/>
        <v>1836.31</v>
      </c>
      <c r="I18" s="85">
        <f t="shared" si="0"/>
        <v>0</v>
      </c>
    </row>
    <row r="19" spans="1:9" ht="30" customHeight="1">
      <c r="A19" s="17" t="s">
        <v>188</v>
      </c>
      <c r="B19" s="22">
        <v>951</v>
      </c>
      <c r="C19" s="37" t="s">
        <v>148</v>
      </c>
      <c r="D19" s="37" t="s">
        <v>150</v>
      </c>
      <c r="E19" s="37" t="s">
        <v>12</v>
      </c>
      <c r="F19" s="37" t="s">
        <v>187</v>
      </c>
      <c r="G19" s="85">
        <f t="shared" si="1"/>
        <v>1836.31</v>
      </c>
      <c r="H19" s="85">
        <f>1836.31</f>
        <v>1836.31</v>
      </c>
      <c r="I19" s="85"/>
    </row>
    <row r="20" spans="1:11" ht="69">
      <c r="A20" s="17" t="s">
        <v>340</v>
      </c>
      <c r="B20" s="22">
        <v>951</v>
      </c>
      <c r="C20" s="37" t="s">
        <v>148</v>
      </c>
      <c r="D20" s="37" t="s">
        <v>159</v>
      </c>
      <c r="E20" s="37" t="s">
        <v>322</v>
      </c>
      <c r="F20" s="37" t="s">
        <v>414</v>
      </c>
      <c r="G20" s="85">
        <f t="shared" si="1"/>
        <v>19100.332</v>
      </c>
      <c r="H20" s="85">
        <f>H21</f>
        <v>19100.332</v>
      </c>
      <c r="I20" s="85">
        <f aca="true" t="shared" si="2" ref="H20:I22">I21</f>
        <v>0</v>
      </c>
      <c r="K20" s="84"/>
    </row>
    <row r="21" spans="1:9" ht="27">
      <c r="A21" s="17" t="s">
        <v>151</v>
      </c>
      <c r="B21" s="22">
        <v>951</v>
      </c>
      <c r="C21" s="37" t="s">
        <v>148</v>
      </c>
      <c r="D21" s="37" t="s">
        <v>159</v>
      </c>
      <c r="E21" s="37" t="s">
        <v>10</v>
      </c>
      <c r="F21" s="37" t="s">
        <v>414</v>
      </c>
      <c r="G21" s="85">
        <f t="shared" si="1"/>
        <v>19100.332</v>
      </c>
      <c r="H21" s="85">
        <f t="shared" si="2"/>
        <v>19100.332</v>
      </c>
      <c r="I21" s="85">
        <f t="shared" si="2"/>
        <v>0</v>
      </c>
    </row>
    <row r="22" spans="1:9" ht="45" customHeight="1">
      <c r="A22" s="17" t="s">
        <v>152</v>
      </c>
      <c r="B22" s="22">
        <v>951</v>
      </c>
      <c r="C22" s="37" t="s">
        <v>148</v>
      </c>
      <c r="D22" s="37" t="s">
        <v>159</v>
      </c>
      <c r="E22" s="37" t="s">
        <v>11</v>
      </c>
      <c r="F22" s="37" t="s">
        <v>414</v>
      </c>
      <c r="G22" s="85">
        <f t="shared" si="1"/>
        <v>19100.332</v>
      </c>
      <c r="H22" s="85">
        <f t="shared" si="2"/>
        <v>19100.332</v>
      </c>
      <c r="I22" s="85">
        <f t="shared" si="2"/>
        <v>0</v>
      </c>
    </row>
    <row r="23" spans="1:9" ht="45" customHeight="1">
      <c r="A23" s="17" t="s">
        <v>156</v>
      </c>
      <c r="B23" s="22">
        <v>951</v>
      </c>
      <c r="C23" s="37" t="s">
        <v>148</v>
      </c>
      <c r="D23" s="37" t="s">
        <v>159</v>
      </c>
      <c r="E23" s="37" t="s">
        <v>14</v>
      </c>
      <c r="F23" s="37" t="s">
        <v>414</v>
      </c>
      <c r="G23" s="85">
        <f t="shared" si="1"/>
        <v>19100.332</v>
      </c>
      <c r="H23" s="85">
        <f>H24+H26+H28</f>
        <v>19100.332</v>
      </c>
      <c r="I23" s="85">
        <f>I24+I26+I28</f>
        <v>0</v>
      </c>
    </row>
    <row r="24" spans="1:9" ht="90.75" customHeight="1">
      <c r="A24" s="17" t="s">
        <v>186</v>
      </c>
      <c r="B24" s="22">
        <v>951</v>
      </c>
      <c r="C24" s="37" t="s">
        <v>148</v>
      </c>
      <c r="D24" s="37" t="s">
        <v>159</v>
      </c>
      <c r="E24" s="37" t="s">
        <v>14</v>
      </c>
      <c r="F24" s="37" t="s">
        <v>153</v>
      </c>
      <c r="G24" s="85">
        <f>H24+I24</f>
        <v>11817</v>
      </c>
      <c r="H24" s="85">
        <f>H25</f>
        <v>11817</v>
      </c>
      <c r="I24" s="85">
        <f>I25</f>
        <v>0</v>
      </c>
    </row>
    <row r="25" spans="1:10" ht="30.75" customHeight="1">
      <c r="A25" s="17" t="s">
        <v>188</v>
      </c>
      <c r="B25" s="22">
        <v>951</v>
      </c>
      <c r="C25" s="37" t="s">
        <v>148</v>
      </c>
      <c r="D25" s="37" t="s">
        <v>159</v>
      </c>
      <c r="E25" s="37" t="s">
        <v>14</v>
      </c>
      <c r="F25" s="37" t="s">
        <v>187</v>
      </c>
      <c r="G25" s="85">
        <f t="shared" si="1"/>
        <v>11817</v>
      </c>
      <c r="H25" s="85">
        <f>9060.7+250+2736.3-230</f>
        <v>11817</v>
      </c>
      <c r="I25" s="85"/>
      <c r="J25" s="84"/>
    </row>
    <row r="26" spans="1:9" ht="27">
      <c r="A26" s="17" t="s">
        <v>189</v>
      </c>
      <c r="B26" s="22">
        <v>951</v>
      </c>
      <c r="C26" s="37" t="s">
        <v>148</v>
      </c>
      <c r="D26" s="37" t="s">
        <v>159</v>
      </c>
      <c r="E26" s="37" t="s">
        <v>14</v>
      </c>
      <c r="F26" s="37" t="s">
        <v>157</v>
      </c>
      <c r="G26" s="85">
        <f t="shared" si="1"/>
        <v>6775.82</v>
      </c>
      <c r="H26" s="85">
        <f>H27</f>
        <v>6775.82</v>
      </c>
      <c r="I26" s="85">
        <f>I27</f>
        <v>0</v>
      </c>
    </row>
    <row r="27" spans="1:9" ht="41.25">
      <c r="A27" s="17" t="s">
        <v>190</v>
      </c>
      <c r="B27" s="22">
        <v>951</v>
      </c>
      <c r="C27" s="37" t="s">
        <v>148</v>
      </c>
      <c r="D27" s="37" t="s">
        <v>159</v>
      </c>
      <c r="E27" s="37" t="s">
        <v>14</v>
      </c>
      <c r="F27" s="37" t="s">
        <v>191</v>
      </c>
      <c r="G27" s="85">
        <f t="shared" si="1"/>
        <v>6775.82</v>
      </c>
      <c r="H27" s="85">
        <f>6545.82+230</f>
        <v>6775.82</v>
      </c>
      <c r="I27" s="85"/>
    </row>
    <row r="28" spans="1:9" ht="13.5">
      <c r="A28" s="17" t="s">
        <v>194</v>
      </c>
      <c r="B28" s="22">
        <v>951</v>
      </c>
      <c r="C28" s="37" t="s">
        <v>148</v>
      </c>
      <c r="D28" s="37" t="s">
        <v>159</v>
      </c>
      <c r="E28" s="37" t="s">
        <v>14</v>
      </c>
      <c r="F28" s="37" t="s">
        <v>195</v>
      </c>
      <c r="G28" s="85">
        <f t="shared" si="1"/>
        <v>507.512</v>
      </c>
      <c r="H28" s="85">
        <f>H29</f>
        <v>507.512</v>
      </c>
      <c r="I28" s="85">
        <f>I29</f>
        <v>0</v>
      </c>
    </row>
    <row r="29" spans="1:9" ht="13.5">
      <c r="A29" s="38" t="s">
        <v>192</v>
      </c>
      <c r="B29" s="22">
        <v>951</v>
      </c>
      <c r="C29" s="37" t="s">
        <v>148</v>
      </c>
      <c r="D29" s="37" t="s">
        <v>159</v>
      </c>
      <c r="E29" s="37" t="s">
        <v>14</v>
      </c>
      <c r="F29" s="37" t="s">
        <v>193</v>
      </c>
      <c r="G29" s="85">
        <f t="shared" si="1"/>
        <v>507.512</v>
      </c>
      <c r="H29" s="85">
        <f>492-40.158+55.67</f>
        <v>507.512</v>
      </c>
      <c r="I29" s="85"/>
    </row>
    <row r="30" spans="1:9" ht="13.5" hidden="1">
      <c r="A30" s="17" t="s">
        <v>165</v>
      </c>
      <c r="B30" s="22">
        <v>951</v>
      </c>
      <c r="C30" s="37" t="s">
        <v>148</v>
      </c>
      <c r="D30" s="37" t="s">
        <v>166</v>
      </c>
      <c r="E30" s="37" t="s">
        <v>322</v>
      </c>
      <c r="F30" s="37" t="s">
        <v>414</v>
      </c>
      <c r="G30" s="85">
        <f t="shared" si="1"/>
        <v>0</v>
      </c>
      <c r="H30" s="85">
        <f aca="true" t="shared" si="3" ref="H30:I32">H31</f>
        <v>0</v>
      </c>
      <c r="I30" s="85">
        <f t="shared" si="3"/>
        <v>0</v>
      </c>
    </row>
    <row r="31" spans="1:9" ht="27" hidden="1">
      <c r="A31" s="17" t="s">
        <v>167</v>
      </c>
      <c r="B31" s="22">
        <v>951</v>
      </c>
      <c r="C31" s="37" t="s">
        <v>148</v>
      </c>
      <c r="D31" s="37" t="s">
        <v>166</v>
      </c>
      <c r="E31" s="37" t="s">
        <v>337</v>
      </c>
      <c r="F31" s="37" t="s">
        <v>414</v>
      </c>
      <c r="G31" s="85">
        <f t="shared" si="1"/>
        <v>0</v>
      </c>
      <c r="H31" s="85">
        <f t="shared" si="3"/>
        <v>0</v>
      </c>
      <c r="I31" s="85">
        <f t="shared" si="3"/>
        <v>0</v>
      </c>
    </row>
    <row r="32" spans="1:9" ht="13.5" hidden="1">
      <c r="A32" s="17" t="s">
        <v>194</v>
      </c>
      <c r="B32" s="22">
        <v>951</v>
      </c>
      <c r="C32" s="37" t="s">
        <v>148</v>
      </c>
      <c r="D32" s="37" t="s">
        <v>166</v>
      </c>
      <c r="E32" s="37" t="s">
        <v>337</v>
      </c>
      <c r="F32" s="37" t="s">
        <v>195</v>
      </c>
      <c r="G32" s="85">
        <f t="shared" si="1"/>
        <v>0</v>
      </c>
      <c r="H32" s="85">
        <f t="shared" si="3"/>
        <v>0</v>
      </c>
      <c r="I32" s="85">
        <f t="shared" si="3"/>
        <v>0</v>
      </c>
    </row>
    <row r="33" spans="1:9" ht="13.5" hidden="1">
      <c r="A33" s="17" t="s">
        <v>196</v>
      </c>
      <c r="B33" s="22">
        <v>951</v>
      </c>
      <c r="C33" s="37" t="s">
        <v>148</v>
      </c>
      <c r="D33" s="37" t="s">
        <v>166</v>
      </c>
      <c r="E33" s="37" t="s">
        <v>337</v>
      </c>
      <c r="F33" s="37" t="s">
        <v>197</v>
      </c>
      <c r="G33" s="85">
        <f t="shared" si="1"/>
        <v>0</v>
      </c>
      <c r="H33" s="85">
        <v>0</v>
      </c>
      <c r="I33" s="85"/>
    </row>
    <row r="34" spans="1:9" ht="42" customHeight="1">
      <c r="A34" s="38" t="s">
        <v>747</v>
      </c>
      <c r="B34" s="22" t="s">
        <v>178</v>
      </c>
      <c r="C34" s="37" t="s">
        <v>148</v>
      </c>
      <c r="D34" s="37" t="s">
        <v>393</v>
      </c>
      <c r="E34" s="37" t="s">
        <v>465</v>
      </c>
      <c r="F34" s="37" t="s">
        <v>414</v>
      </c>
      <c r="G34" s="85">
        <f>I34</f>
        <v>26.012800000000002</v>
      </c>
      <c r="H34" s="85"/>
      <c r="I34" s="85">
        <f>I35</f>
        <v>26.012800000000002</v>
      </c>
    </row>
    <row r="35" spans="1:9" ht="27">
      <c r="A35" s="17" t="s">
        <v>189</v>
      </c>
      <c r="B35" s="22" t="s">
        <v>178</v>
      </c>
      <c r="C35" s="37" t="s">
        <v>148</v>
      </c>
      <c r="D35" s="37" t="s">
        <v>393</v>
      </c>
      <c r="E35" s="37" t="s">
        <v>465</v>
      </c>
      <c r="F35" s="37" t="s">
        <v>157</v>
      </c>
      <c r="G35" s="85">
        <f>I35</f>
        <v>26.012800000000002</v>
      </c>
      <c r="H35" s="85"/>
      <c r="I35" s="85">
        <f>I36</f>
        <v>26.012800000000002</v>
      </c>
    </row>
    <row r="36" spans="1:9" ht="41.25">
      <c r="A36" s="17" t="s">
        <v>190</v>
      </c>
      <c r="B36" s="22" t="s">
        <v>178</v>
      </c>
      <c r="C36" s="37" t="s">
        <v>148</v>
      </c>
      <c r="D36" s="37" t="s">
        <v>393</v>
      </c>
      <c r="E36" s="37" t="s">
        <v>465</v>
      </c>
      <c r="F36" s="37" t="s">
        <v>191</v>
      </c>
      <c r="G36" s="85">
        <f>I36</f>
        <v>26.012800000000002</v>
      </c>
      <c r="H36" s="85"/>
      <c r="I36" s="85">
        <f>26.012+0.0008</f>
        <v>26.012800000000002</v>
      </c>
    </row>
    <row r="37" spans="1:9" ht="14.25">
      <c r="A37" s="72" t="s">
        <v>165</v>
      </c>
      <c r="B37" s="87" t="s">
        <v>178</v>
      </c>
      <c r="C37" s="73" t="s">
        <v>148</v>
      </c>
      <c r="D37" s="73" t="s">
        <v>166</v>
      </c>
      <c r="E37" s="73" t="s">
        <v>322</v>
      </c>
      <c r="F37" s="73" t="s">
        <v>414</v>
      </c>
      <c r="G37" s="88">
        <f aca="true" t="shared" si="4" ref="G37:G43">H37+I37</f>
        <v>526.6760000000002</v>
      </c>
      <c r="H37" s="88">
        <f>H38</f>
        <v>526.6760000000002</v>
      </c>
      <c r="I37" s="88"/>
    </row>
    <row r="38" spans="1:9" ht="27">
      <c r="A38" s="220" t="s">
        <v>151</v>
      </c>
      <c r="B38" s="22" t="s">
        <v>178</v>
      </c>
      <c r="C38" s="37" t="s">
        <v>148</v>
      </c>
      <c r="D38" s="37" t="s">
        <v>166</v>
      </c>
      <c r="E38" s="70" t="s">
        <v>10</v>
      </c>
      <c r="F38" s="70" t="s">
        <v>414</v>
      </c>
      <c r="G38" s="85">
        <f t="shared" si="4"/>
        <v>526.6760000000002</v>
      </c>
      <c r="H38" s="85">
        <f>H39</f>
        <v>526.6760000000002</v>
      </c>
      <c r="I38" s="85"/>
    </row>
    <row r="39" spans="1:9" ht="33" customHeight="1">
      <c r="A39" s="220" t="s">
        <v>152</v>
      </c>
      <c r="B39" s="22" t="s">
        <v>178</v>
      </c>
      <c r="C39" s="37" t="s">
        <v>148</v>
      </c>
      <c r="D39" s="37" t="s">
        <v>166</v>
      </c>
      <c r="E39" s="70" t="s">
        <v>11</v>
      </c>
      <c r="F39" s="70" t="s">
        <v>414</v>
      </c>
      <c r="G39" s="85">
        <f t="shared" si="4"/>
        <v>526.6760000000002</v>
      </c>
      <c r="H39" s="85">
        <f>H40</f>
        <v>526.6760000000002</v>
      </c>
      <c r="I39" s="85"/>
    </row>
    <row r="40" spans="1:9" ht="27">
      <c r="A40" s="220" t="s">
        <v>561</v>
      </c>
      <c r="B40" s="22" t="s">
        <v>178</v>
      </c>
      <c r="C40" s="37" t="s">
        <v>148</v>
      </c>
      <c r="D40" s="37" t="s">
        <v>166</v>
      </c>
      <c r="E40" s="37" t="s">
        <v>562</v>
      </c>
      <c r="F40" s="70" t="s">
        <v>414</v>
      </c>
      <c r="G40" s="85">
        <f t="shared" si="4"/>
        <v>526.6760000000002</v>
      </c>
      <c r="H40" s="85">
        <f>H41</f>
        <v>526.6760000000002</v>
      </c>
      <c r="I40" s="85"/>
    </row>
    <row r="41" spans="1:9" ht="13.5">
      <c r="A41" s="220" t="s">
        <v>194</v>
      </c>
      <c r="B41" s="22" t="s">
        <v>178</v>
      </c>
      <c r="C41" s="37" t="s">
        <v>148</v>
      </c>
      <c r="D41" s="37" t="s">
        <v>166</v>
      </c>
      <c r="E41" s="37" t="s">
        <v>562</v>
      </c>
      <c r="F41" s="70" t="s">
        <v>195</v>
      </c>
      <c r="G41" s="85">
        <f t="shared" si="4"/>
        <v>526.6760000000002</v>
      </c>
      <c r="H41" s="85">
        <f>H42</f>
        <v>526.6760000000002</v>
      </c>
      <c r="I41" s="85"/>
    </row>
    <row r="42" spans="1:9" ht="13.5">
      <c r="A42" s="220" t="s">
        <v>196</v>
      </c>
      <c r="B42" s="22" t="s">
        <v>178</v>
      </c>
      <c r="C42" s="37" t="s">
        <v>148</v>
      </c>
      <c r="D42" s="37" t="s">
        <v>166</v>
      </c>
      <c r="E42" s="37" t="s">
        <v>562</v>
      </c>
      <c r="F42" s="70" t="s">
        <v>197</v>
      </c>
      <c r="G42" s="85">
        <f t="shared" si="4"/>
        <v>526.6760000000002</v>
      </c>
      <c r="H42" s="85">
        <f>100-11.45-24.964+600-25.292-6.497-16.526-16.045-27.55-20-5-20</f>
        <v>526.6760000000002</v>
      </c>
      <c r="I42" s="85"/>
    </row>
    <row r="43" spans="1:9" ht="16.5" customHeight="1">
      <c r="A43" s="75" t="s">
        <v>360</v>
      </c>
      <c r="B43" s="87">
        <v>951</v>
      </c>
      <c r="C43" s="73" t="s">
        <v>148</v>
      </c>
      <c r="D43" s="73" t="s">
        <v>168</v>
      </c>
      <c r="E43" s="73" t="s">
        <v>322</v>
      </c>
      <c r="F43" s="73" t="s">
        <v>414</v>
      </c>
      <c r="G43" s="88">
        <f t="shared" si="4"/>
        <v>11976.413810000002</v>
      </c>
      <c r="H43" s="88">
        <f>H44+H76+H112+H130+H86+H70+H89+H133+H94+H149</f>
        <v>6371.60101</v>
      </c>
      <c r="I43" s="88">
        <f>I44</f>
        <v>5604.812800000001</v>
      </c>
    </row>
    <row r="44" spans="1:10" ht="16.5" customHeight="1">
      <c r="A44" s="17" t="s">
        <v>169</v>
      </c>
      <c r="B44" s="22">
        <v>951</v>
      </c>
      <c r="C44" s="37" t="s">
        <v>148</v>
      </c>
      <c r="D44" s="37" t="s">
        <v>168</v>
      </c>
      <c r="E44" s="37" t="s">
        <v>322</v>
      </c>
      <c r="F44" s="37" t="s">
        <v>414</v>
      </c>
      <c r="G44" s="85">
        <f t="shared" si="1"/>
        <v>5604.812800000001</v>
      </c>
      <c r="H44" s="85">
        <f>H45+H50+H55+H60</f>
        <v>0</v>
      </c>
      <c r="I44" s="85">
        <f>I45+I50+I55+I60+I65+I68+I99</f>
        <v>5604.812800000001</v>
      </c>
      <c r="J44" s="84"/>
    </row>
    <row r="45" spans="1:11" ht="58.5" customHeight="1">
      <c r="A45" s="17" t="s">
        <v>170</v>
      </c>
      <c r="B45" s="22">
        <v>951</v>
      </c>
      <c r="C45" s="37" t="s">
        <v>148</v>
      </c>
      <c r="D45" s="37" t="s">
        <v>168</v>
      </c>
      <c r="E45" s="37" t="s">
        <v>16</v>
      </c>
      <c r="F45" s="37" t="s">
        <v>414</v>
      </c>
      <c r="G45" s="85">
        <f t="shared" si="1"/>
        <v>801.977</v>
      </c>
      <c r="H45" s="85">
        <f>H46+H48</f>
        <v>0</v>
      </c>
      <c r="I45" s="85">
        <f>I46+I48</f>
        <v>801.977</v>
      </c>
      <c r="J45" s="289"/>
      <c r="K45" s="207"/>
    </row>
    <row r="46" spans="1:9" ht="84" customHeight="1">
      <c r="A46" s="17" t="s">
        <v>186</v>
      </c>
      <c r="B46" s="22">
        <v>951</v>
      </c>
      <c r="C46" s="37" t="s">
        <v>148</v>
      </c>
      <c r="D46" s="37" t="s">
        <v>168</v>
      </c>
      <c r="E46" s="37" t="s">
        <v>16</v>
      </c>
      <c r="F46" s="37" t="s">
        <v>153</v>
      </c>
      <c r="G46" s="85">
        <f t="shared" si="1"/>
        <v>550.0459999999999</v>
      </c>
      <c r="H46" s="85">
        <f>H47</f>
        <v>0</v>
      </c>
      <c r="I46" s="85">
        <f>I47</f>
        <v>550.0459999999999</v>
      </c>
    </row>
    <row r="47" spans="1:9" ht="29.25" customHeight="1">
      <c r="A47" s="46" t="s">
        <v>188</v>
      </c>
      <c r="B47" s="22">
        <v>951</v>
      </c>
      <c r="C47" s="37" t="s">
        <v>148</v>
      </c>
      <c r="D47" s="37" t="s">
        <v>168</v>
      </c>
      <c r="E47" s="37" t="s">
        <v>16</v>
      </c>
      <c r="F47" s="37" t="s">
        <v>187</v>
      </c>
      <c r="G47" s="85">
        <f t="shared" si="1"/>
        <v>550.0459999999999</v>
      </c>
      <c r="H47" s="85"/>
      <c r="I47" s="85">
        <f>542.93+7.116</f>
        <v>550.0459999999999</v>
      </c>
    </row>
    <row r="48" spans="1:9" ht="31.5" customHeight="1">
      <c r="A48" s="17" t="s">
        <v>189</v>
      </c>
      <c r="B48" s="22">
        <v>951</v>
      </c>
      <c r="C48" s="37" t="s">
        <v>148</v>
      </c>
      <c r="D48" s="37" t="s">
        <v>168</v>
      </c>
      <c r="E48" s="37" t="s">
        <v>16</v>
      </c>
      <c r="F48" s="37" t="s">
        <v>157</v>
      </c>
      <c r="G48" s="85">
        <f t="shared" si="1"/>
        <v>251.931</v>
      </c>
      <c r="H48" s="85">
        <f>H49</f>
        <v>0</v>
      </c>
      <c r="I48" s="85">
        <f>I49</f>
        <v>251.931</v>
      </c>
    </row>
    <row r="49" spans="1:9" ht="42.75" customHeight="1">
      <c r="A49" s="46" t="s">
        <v>190</v>
      </c>
      <c r="B49" s="22">
        <v>951</v>
      </c>
      <c r="C49" s="37" t="s">
        <v>148</v>
      </c>
      <c r="D49" s="37" t="s">
        <v>168</v>
      </c>
      <c r="E49" s="37" t="s">
        <v>16</v>
      </c>
      <c r="F49" s="37" t="s">
        <v>191</v>
      </c>
      <c r="G49" s="85">
        <f t="shared" si="1"/>
        <v>251.931</v>
      </c>
      <c r="H49" s="85"/>
      <c r="I49" s="85">
        <f>251.931</f>
        <v>251.931</v>
      </c>
    </row>
    <row r="50" spans="1:11" ht="47.25" customHeight="1">
      <c r="A50" s="17" t="s">
        <v>424</v>
      </c>
      <c r="B50" s="22">
        <v>951</v>
      </c>
      <c r="C50" s="37" t="s">
        <v>148</v>
      </c>
      <c r="D50" s="37" t="s">
        <v>168</v>
      </c>
      <c r="E50" s="37" t="s">
        <v>875</v>
      </c>
      <c r="F50" s="37" t="s">
        <v>414</v>
      </c>
      <c r="G50" s="85">
        <f t="shared" si="1"/>
        <v>1208.7670000000003</v>
      </c>
      <c r="H50" s="85">
        <f>H51+H53</f>
        <v>0</v>
      </c>
      <c r="I50" s="85">
        <f>I51+I53</f>
        <v>1208.7670000000003</v>
      </c>
      <c r="K50" s="84"/>
    </row>
    <row r="51" spans="1:9" ht="75" customHeight="1">
      <c r="A51" s="17" t="s">
        <v>186</v>
      </c>
      <c r="B51" s="22" t="s">
        <v>178</v>
      </c>
      <c r="C51" s="37" t="s">
        <v>148</v>
      </c>
      <c r="D51" s="37" t="s">
        <v>168</v>
      </c>
      <c r="E51" s="37" t="s">
        <v>875</v>
      </c>
      <c r="F51" s="37" t="s">
        <v>153</v>
      </c>
      <c r="G51" s="85">
        <f t="shared" si="1"/>
        <v>1150.8870000000002</v>
      </c>
      <c r="H51" s="85">
        <f>H52</f>
        <v>0</v>
      </c>
      <c r="I51" s="85">
        <f>I52</f>
        <v>1150.8870000000002</v>
      </c>
    </row>
    <row r="52" spans="1:9" ht="32.25" customHeight="1">
      <c r="A52" s="46" t="s">
        <v>188</v>
      </c>
      <c r="B52" s="22" t="s">
        <v>178</v>
      </c>
      <c r="C52" s="37" t="s">
        <v>148</v>
      </c>
      <c r="D52" s="37" t="s">
        <v>168</v>
      </c>
      <c r="E52" s="37" t="s">
        <v>875</v>
      </c>
      <c r="F52" s="37" t="s">
        <v>187</v>
      </c>
      <c r="G52" s="85">
        <f t="shared" si="1"/>
        <v>1150.8870000000002</v>
      </c>
      <c r="H52" s="85"/>
      <c r="I52" s="85">
        <f>1139.911+10.976</f>
        <v>1150.8870000000002</v>
      </c>
    </row>
    <row r="53" spans="1:9" ht="31.5" customHeight="1">
      <c r="A53" s="17" t="s">
        <v>189</v>
      </c>
      <c r="B53" s="22">
        <v>951</v>
      </c>
      <c r="C53" s="37" t="s">
        <v>148</v>
      </c>
      <c r="D53" s="37" t="s">
        <v>168</v>
      </c>
      <c r="E53" s="37" t="s">
        <v>875</v>
      </c>
      <c r="F53" s="37" t="s">
        <v>157</v>
      </c>
      <c r="G53" s="85">
        <f t="shared" si="1"/>
        <v>57.88</v>
      </c>
      <c r="H53" s="85">
        <f>H54</f>
        <v>0</v>
      </c>
      <c r="I53" s="85">
        <f>I54</f>
        <v>57.88</v>
      </c>
    </row>
    <row r="54" spans="1:9" ht="44.25" customHeight="1">
      <c r="A54" s="46" t="s">
        <v>190</v>
      </c>
      <c r="B54" s="22">
        <v>951</v>
      </c>
      <c r="C54" s="37" t="s">
        <v>148</v>
      </c>
      <c r="D54" s="37" t="s">
        <v>168</v>
      </c>
      <c r="E54" s="37" t="s">
        <v>875</v>
      </c>
      <c r="F54" s="37" t="s">
        <v>191</v>
      </c>
      <c r="G54" s="85">
        <f t="shared" si="1"/>
        <v>57.88</v>
      </c>
      <c r="H54" s="85"/>
      <c r="I54" s="85">
        <v>57.88</v>
      </c>
    </row>
    <row r="55" spans="1:11" ht="44.25" customHeight="1">
      <c r="A55" s="17" t="s">
        <v>171</v>
      </c>
      <c r="B55" s="22" t="s">
        <v>178</v>
      </c>
      <c r="C55" s="37" t="s">
        <v>148</v>
      </c>
      <c r="D55" s="37" t="s">
        <v>168</v>
      </c>
      <c r="E55" s="37" t="s">
        <v>875</v>
      </c>
      <c r="F55" s="37" t="s">
        <v>414</v>
      </c>
      <c r="G55" s="85">
        <f t="shared" si="1"/>
        <v>773.416</v>
      </c>
      <c r="H55" s="85">
        <f>H56+H58</f>
        <v>0</v>
      </c>
      <c r="I55" s="85">
        <f>I56+I58</f>
        <v>773.416</v>
      </c>
      <c r="J55" s="289"/>
      <c r="K55" s="84"/>
    </row>
    <row r="56" spans="1:9" ht="81" customHeight="1">
      <c r="A56" s="17" t="s">
        <v>186</v>
      </c>
      <c r="B56" s="22" t="s">
        <v>178</v>
      </c>
      <c r="C56" s="37" t="s">
        <v>148</v>
      </c>
      <c r="D56" s="37" t="s">
        <v>168</v>
      </c>
      <c r="E56" s="37" t="s">
        <v>875</v>
      </c>
      <c r="F56" s="37" t="s">
        <v>153</v>
      </c>
      <c r="G56" s="85">
        <f t="shared" si="1"/>
        <v>726.061</v>
      </c>
      <c r="H56" s="85">
        <f>H57</f>
        <v>0</v>
      </c>
      <c r="I56" s="85">
        <f>I57</f>
        <v>726.061</v>
      </c>
    </row>
    <row r="57" spans="1:9" ht="30" customHeight="1">
      <c r="A57" s="46" t="s">
        <v>188</v>
      </c>
      <c r="B57" s="22">
        <v>951</v>
      </c>
      <c r="C57" s="37" t="s">
        <v>148</v>
      </c>
      <c r="D57" s="37" t="s">
        <v>168</v>
      </c>
      <c r="E57" s="37" t="s">
        <v>875</v>
      </c>
      <c r="F57" s="37" t="s">
        <v>187</v>
      </c>
      <c r="G57" s="85">
        <f t="shared" si="1"/>
        <v>726.061</v>
      </c>
      <c r="H57" s="85"/>
      <c r="I57" s="85">
        <f>719.07+6.991</f>
        <v>726.061</v>
      </c>
    </row>
    <row r="58" spans="1:9" ht="30.75" customHeight="1">
      <c r="A58" s="17" t="s">
        <v>189</v>
      </c>
      <c r="B58" s="22">
        <v>951</v>
      </c>
      <c r="C58" s="37" t="s">
        <v>148</v>
      </c>
      <c r="D58" s="37" t="s">
        <v>168</v>
      </c>
      <c r="E58" s="37" t="s">
        <v>875</v>
      </c>
      <c r="F58" s="37" t="s">
        <v>157</v>
      </c>
      <c r="G58" s="85">
        <f t="shared" si="1"/>
        <v>47.355</v>
      </c>
      <c r="H58" s="85">
        <f>H59</f>
        <v>0</v>
      </c>
      <c r="I58" s="85">
        <f>I59</f>
        <v>47.355</v>
      </c>
    </row>
    <row r="59" spans="1:9" ht="41.25">
      <c r="A59" s="46" t="s">
        <v>190</v>
      </c>
      <c r="B59" s="22">
        <v>951</v>
      </c>
      <c r="C59" s="37" t="s">
        <v>148</v>
      </c>
      <c r="D59" s="37" t="s">
        <v>168</v>
      </c>
      <c r="E59" s="37" t="s">
        <v>875</v>
      </c>
      <c r="F59" s="37" t="s">
        <v>191</v>
      </c>
      <c r="G59" s="85">
        <f t="shared" si="1"/>
        <v>47.355</v>
      </c>
      <c r="H59" s="85"/>
      <c r="I59" s="85">
        <v>47.355</v>
      </c>
    </row>
    <row r="60" spans="1:11" ht="87.75" customHeight="1">
      <c r="A60" s="17" t="s">
        <v>19</v>
      </c>
      <c r="B60" s="22">
        <v>951</v>
      </c>
      <c r="C60" s="37" t="s">
        <v>148</v>
      </c>
      <c r="D60" s="37" t="s">
        <v>168</v>
      </c>
      <c r="E60" s="37" t="s">
        <v>323</v>
      </c>
      <c r="F60" s="37" t="s">
        <v>414</v>
      </c>
      <c r="G60" s="85">
        <f t="shared" si="1"/>
        <v>1395.192</v>
      </c>
      <c r="H60" s="85">
        <f>H61+H63</f>
        <v>0</v>
      </c>
      <c r="I60" s="85">
        <f>I61+I63</f>
        <v>1395.192</v>
      </c>
      <c r="J60" s="143"/>
      <c r="K60" s="207"/>
    </row>
    <row r="61" spans="1:9" ht="75" customHeight="1">
      <c r="A61" s="17" t="s">
        <v>186</v>
      </c>
      <c r="B61" s="22">
        <v>951</v>
      </c>
      <c r="C61" s="37" t="s">
        <v>148</v>
      </c>
      <c r="D61" s="37" t="s">
        <v>168</v>
      </c>
      <c r="E61" s="37" t="s">
        <v>323</v>
      </c>
      <c r="F61" s="37" t="s">
        <v>153</v>
      </c>
      <c r="G61" s="85">
        <f t="shared" si="1"/>
        <v>1242.908</v>
      </c>
      <c r="H61" s="85">
        <f>H62</f>
        <v>0</v>
      </c>
      <c r="I61" s="85">
        <f>I62</f>
        <v>1242.908</v>
      </c>
    </row>
    <row r="62" spans="1:9" ht="27">
      <c r="A62" s="46" t="s">
        <v>188</v>
      </c>
      <c r="B62" s="22">
        <v>951</v>
      </c>
      <c r="C62" s="37" t="s">
        <v>148</v>
      </c>
      <c r="D62" s="37" t="s">
        <v>168</v>
      </c>
      <c r="E62" s="37" t="s">
        <v>323</v>
      </c>
      <c r="F62" s="37" t="s">
        <v>187</v>
      </c>
      <c r="G62" s="85">
        <f t="shared" si="1"/>
        <v>1242.908</v>
      </c>
      <c r="H62" s="85"/>
      <c r="I62" s="85">
        <f>1242.908</f>
        <v>1242.908</v>
      </c>
    </row>
    <row r="63" spans="1:9" ht="27">
      <c r="A63" s="17" t="s">
        <v>189</v>
      </c>
      <c r="B63" s="22">
        <v>951</v>
      </c>
      <c r="C63" s="37" t="s">
        <v>148</v>
      </c>
      <c r="D63" s="37" t="s">
        <v>168</v>
      </c>
      <c r="E63" s="37" t="s">
        <v>323</v>
      </c>
      <c r="F63" s="37" t="s">
        <v>157</v>
      </c>
      <c r="G63" s="85">
        <f t="shared" si="1"/>
        <v>152.284</v>
      </c>
      <c r="H63" s="85">
        <f>H64</f>
        <v>0</v>
      </c>
      <c r="I63" s="85">
        <f>I64</f>
        <v>152.284</v>
      </c>
    </row>
    <row r="64" spans="1:9" ht="41.25">
      <c r="A64" s="46" t="s">
        <v>190</v>
      </c>
      <c r="B64" s="22">
        <v>951</v>
      </c>
      <c r="C64" s="37" t="s">
        <v>148</v>
      </c>
      <c r="D64" s="37" t="s">
        <v>168</v>
      </c>
      <c r="E64" s="37" t="s">
        <v>323</v>
      </c>
      <c r="F64" s="37" t="s">
        <v>191</v>
      </c>
      <c r="G64" s="85">
        <f t="shared" si="1"/>
        <v>152.284</v>
      </c>
      <c r="H64" s="85"/>
      <c r="I64" s="85">
        <f>118.254+34.03</f>
        <v>152.284</v>
      </c>
    </row>
    <row r="65" spans="1:9" ht="57.75" customHeight="1">
      <c r="A65" s="56" t="s">
        <v>942</v>
      </c>
      <c r="B65" s="74">
        <v>951</v>
      </c>
      <c r="C65" s="59" t="s">
        <v>148</v>
      </c>
      <c r="D65" s="59" t="s">
        <v>168</v>
      </c>
      <c r="E65" s="59" t="s">
        <v>943</v>
      </c>
      <c r="F65" s="59" t="s">
        <v>414</v>
      </c>
      <c r="G65" s="94">
        <f>H65+I65</f>
        <v>272.232</v>
      </c>
      <c r="H65" s="94"/>
      <c r="I65" s="94">
        <f>I66</f>
        <v>272.232</v>
      </c>
    </row>
    <row r="66" spans="1:9" ht="27">
      <c r="A66" s="17" t="s">
        <v>189</v>
      </c>
      <c r="B66" s="22">
        <v>951</v>
      </c>
      <c r="C66" s="37" t="s">
        <v>148</v>
      </c>
      <c r="D66" s="37" t="s">
        <v>168</v>
      </c>
      <c r="E66" s="37" t="s">
        <v>943</v>
      </c>
      <c r="F66" s="37" t="s">
        <v>157</v>
      </c>
      <c r="G66" s="85">
        <f>H66+I66</f>
        <v>272.232</v>
      </c>
      <c r="H66" s="85"/>
      <c r="I66" s="85">
        <f>I67</f>
        <v>272.232</v>
      </c>
    </row>
    <row r="67" spans="1:9" ht="41.25">
      <c r="A67" s="46" t="s">
        <v>190</v>
      </c>
      <c r="B67" s="22">
        <v>951</v>
      </c>
      <c r="C67" s="37" t="s">
        <v>148</v>
      </c>
      <c r="D67" s="37" t="s">
        <v>168</v>
      </c>
      <c r="E67" s="37" t="s">
        <v>943</v>
      </c>
      <c r="F67" s="37" t="s">
        <v>191</v>
      </c>
      <c r="G67" s="85">
        <f>H67+I67</f>
        <v>272.232</v>
      </c>
      <c r="H67" s="85"/>
      <c r="I67" s="85">
        <v>272.232</v>
      </c>
    </row>
    <row r="68" spans="1:9" s="290" customFormat="1" ht="28.5">
      <c r="A68" s="72" t="s">
        <v>874</v>
      </c>
      <c r="B68" s="87">
        <v>951</v>
      </c>
      <c r="C68" s="73" t="s">
        <v>148</v>
      </c>
      <c r="D68" s="73" t="s">
        <v>168</v>
      </c>
      <c r="E68" s="73" t="s">
        <v>876</v>
      </c>
      <c r="F68" s="73" t="s">
        <v>414</v>
      </c>
      <c r="G68" s="88">
        <f>H68+I68</f>
        <v>307.152</v>
      </c>
      <c r="H68" s="218">
        <f>H69</f>
        <v>0</v>
      </c>
      <c r="I68" s="88">
        <f>I69</f>
        <v>307.152</v>
      </c>
    </row>
    <row r="69" spans="1:9" ht="41.25">
      <c r="A69" s="46" t="s">
        <v>190</v>
      </c>
      <c r="B69" s="22">
        <v>951</v>
      </c>
      <c r="C69" s="37" t="s">
        <v>148</v>
      </c>
      <c r="D69" s="37" t="s">
        <v>168</v>
      </c>
      <c r="E69" s="37" t="s">
        <v>876</v>
      </c>
      <c r="F69" s="37" t="s">
        <v>191</v>
      </c>
      <c r="G69" s="85">
        <f t="shared" si="1"/>
        <v>307.152</v>
      </c>
      <c r="H69" s="110">
        <v>0</v>
      </c>
      <c r="I69" s="85">
        <v>307.152</v>
      </c>
    </row>
    <row r="70" spans="1:9" ht="54.75" hidden="1">
      <c r="A70" s="71" t="s">
        <v>438</v>
      </c>
      <c r="B70" s="22">
        <v>951</v>
      </c>
      <c r="C70" s="37" t="s">
        <v>148</v>
      </c>
      <c r="D70" s="37" t="s">
        <v>168</v>
      </c>
      <c r="E70" s="59" t="s">
        <v>30</v>
      </c>
      <c r="F70" s="59" t="s">
        <v>414</v>
      </c>
      <c r="G70" s="94">
        <f aca="true" t="shared" si="5" ref="G70:G76">H70+I70</f>
        <v>0</v>
      </c>
      <c r="H70" s="119">
        <f>H71+H72</f>
        <v>0</v>
      </c>
      <c r="I70" s="119">
        <f>I71+I72</f>
        <v>0</v>
      </c>
    </row>
    <row r="71" spans="1:9" ht="69" hidden="1">
      <c r="A71" s="98" t="s">
        <v>132</v>
      </c>
      <c r="B71" s="22">
        <v>951</v>
      </c>
      <c r="C71" s="37" t="s">
        <v>148</v>
      </c>
      <c r="D71" s="37" t="s">
        <v>168</v>
      </c>
      <c r="E71" s="37" t="s">
        <v>468</v>
      </c>
      <c r="F71" s="37" t="s">
        <v>126</v>
      </c>
      <c r="G71" s="85">
        <f t="shared" si="5"/>
        <v>0</v>
      </c>
      <c r="H71" s="85"/>
      <c r="I71" s="85"/>
    </row>
    <row r="72" spans="1:9" ht="69" hidden="1">
      <c r="A72" s="99" t="s">
        <v>127</v>
      </c>
      <c r="B72" s="22">
        <v>951</v>
      </c>
      <c r="C72" s="37" t="s">
        <v>148</v>
      </c>
      <c r="D72" s="37" t="s">
        <v>168</v>
      </c>
      <c r="E72" s="37" t="s">
        <v>99</v>
      </c>
      <c r="F72" s="37" t="s">
        <v>126</v>
      </c>
      <c r="G72" s="85">
        <f t="shared" si="5"/>
        <v>0</v>
      </c>
      <c r="H72" s="85"/>
      <c r="I72" s="85"/>
    </row>
    <row r="73" spans="1:9" s="106" customFormat="1" ht="54.75" hidden="1">
      <c r="A73" s="55" t="s">
        <v>798</v>
      </c>
      <c r="B73" s="22">
        <v>951</v>
      </c>
      <c r="C73" s="59" t="s">
        <v>148</v>
      </c>
      <c r="D73" s="59" t="s">
        <v>168</v>
      </c>
      <c r="E73" s="59" t="s">
        <v>799</v>
      </c>
      <c r="F73" s="59" t="s">
        <v>414</v>
      </c>
      <c r="G73" s="94">
        <f t="shared" si="5"/>
        <v>0</v>
      </c>
      <c r="H73" s="94"/>
      <c r="I73" s="94">
        <f>I74</f>
        <v>0</v>
      </c>
    </row>
    <row r="74" spans="1:9" ht="82.5" hidden="1">
      <c r="A74" s="17" t="s">
        <v>186</v>
      </c>
      <c r="B74" s="22">
        <v>951</v>
      </c>
      <c r="C74" s="37" t="s">
        <v>148</v>
      </c>
      <c r="D74" s="37" t="s">
        <v>168</v>
      </c>
      <c r="E74" s="37" t="s">
        <v>799</v>
      </c>
      <c r="F74" s="37" t="s">
        <v>153</v>
      </c>
      <c r="G74" s="85">
        <f t="shared" si="5"/>
        <v>0</v>
      </c>
      <c r="H74" s="85"/>
      <c r="I74" s="85">
        <f>I75</f>
        <v>0</v>
      </c>
    </row>
    <row r="75" spans="1:9" ht="27" hidden="1">
      <c r="A75" s="46" t="s">
        <v>188</v>
      </c>
      <c r="B75" s="22">
        <v>951</v>
      </c>
      <c r="C75" s="37" t="s">
        <v>148</v>
      </c>
      <c r="D75" s="37" t="s">
        <v>168</v>
      </c>
      <c r="E75" s="37" t="s">
        <v>799</v>
      </c>
      <c r="F75" s="37" t="s">
        <v>187</v>
      </c>
      <c r="G75" s="85">
        <f t="shared" si="5"/>
        <v>0</v>
      </c>
      <c r="H75" s="85">
        <v>0</v>
      </c>
      <c r="I75" s="85">
        <v>0</v>
      </c>
    </row>
    <row r="76" spans="1:11" ht="28.5">
      <c r="A76" s="75" t="s">
        <v>151</v>
      </c>
      <c r="B76" s="22">
        <v>951</v>
      </c>
      <c r="C76" s="37" t="s">
        <v>148</v>
      </c>
      <c r="D76" s="37" t="s">
        <v>168</v>
      </c>
      <c r="E76" s="37" t="s">
        <v>10</v>
      </c>
      <c r="F76" s="37" t="s">
        <v>414</v>
      </c>
      <c r="G76" s="85">
        <f t="shared" si="5"/>
        <v>4478.514</v>
      </c>
      <c r="H76" s="85">
        <f>H77</f>
        <v>4478.514</v>
      </c>
      <c r="I76" s="85">
        <f>I77</f>
        <v>0</v>
      </c>
      <c r="K76" s="84"/>
    </row>
    <row r="77" spans="1:9" ht="42" customHeight="1">
      <c r="A77" s="17" t="s">
        <v>152</v>
      </c>
      <c r="B77" s="22">
        <v>951</v>
      </c>
      <c r="C77" s="37" t="s">
        <v>148</v>
      </c>
      <c r="D77" s="37" t="s">
        <v>168</v>
      </c>
      <c r="E77" s="37" t="s">
        <v>11</v>
      </c>
      <c r="F77" s="37" t="s">
        <v>414</v>
      </c>
      <c r="G77" s="85">
        <f t="shared" si="1"/>
        <v>4478.514</v>
      </c>
      <c r="H77" s="85">
        <f>H78+H83+H106+H109</f>
        <v>4478.514</v>
      </c>
      <c r="I77" s="85">
        <f>I78</f>
        <v>0</v>
      </c>
    </row>
    <row r="78" spans="1:11" ht="45" customHeight="1">
      <c r="A78" s="17" t="s">
        <v>563</v>
      </c>
      <c r="B78" s="22">
        <v>951</v>
      </c>
      <c r="C78" s="37" t="s">
        <v>148</v>
      </c>
      <c r="D78" s="37" t="s">
        <v>168</v>
      </c>
      <c r="E78" s="37" t="s">
        <v>14</v>
      </c>
      <c r="F78" s="37" t="s">
        <v>414</v>
      </c>
      <c r="G78" s="85">
        <f t="shared" si="1"/>
        <v>4080.6200000000003</v>
      </c>
      <c r="H78" s="85">
        <f>H79+H81</f>
        <v>4080.6200000000003</v>
      </c>
      <c r="I78" s="85">
        <f>I79+I81</f>
        <v>0</v>
      </c>
      <c r="K78" s="84"/>
    </row>
    <row r="79" spans="1:9" ht="81.75" customHeight="1">
      <c r="A79" s="17" t="s">
        <v>186</v>
      </c>
      <c r="B79" s="22">
        <v>951</v>
      </c>
      <c r="C79" s="37" t="s">
        <v>148</v>
      </c>
      <c r="D79" s="37" t="s">
        <v>168</v>
      </c>
      <c r="E79" s="37" t="s">
        <v>14</v>
      </c>
      <c r="F79" s="37" t="s">
        <v>153</v>
      </c>
      <c r="G79" s="85">
        <f t="shared" si="1"/>
        <v>3994.7200000000003</v>
      </c>
      <c r="H79" s="85">
        <f>H80</f>
        <v>3994.7200000000003</v>
      </c>
      <c r="I79" s="85">
        <f>I80</f>
        <v>0</v>
      </c>
    </row>
    <row r="80" spans="1:9" ht="27">
      <c r="A80" s="46" t="s">
        <v>188</v>
      </c>
      <c r="B80" s="22">
        <v>951</v>
      </c>
      <c r="C80" s="37" t="s">
        <v>148</v>
      </c>
      <c r="D80" s="37" t="s">
        <v>168</v>
      </c>
      <c r="E80" s="37" t="s">
        <v>14</v>
      </c>
      <c r="F80" s="37" t="s">
        <v>187</v>
      </c>
      <c r="G80" s="85">
        <f t="shared" si="1"/>
        <v>3994.7200000000003</v>
      </c>
      <c r="H80" s="85">
        <f>3025.9+55+913.82</f>
        <v>3994.7200000000003</v>
      </c>
      <c r="I80" s="85"/>
    </row>
    <row r="81" spans="1:9" ht="27">
      <c r="A81" s="17" t="s">
        <v>189</v>
      </c>
      <c r="B81" s="22">
        <v>951</v>
      </c>
      <c r="C81" s="37" t="s">
        <v>148</v>
      </c>
      <c r="D81" s="37" t="s">
        <v>168</v>
      </c>
      <c r="E81" s="37" t="s">
        <v>14</v>
      </c>
      <c r="F81" s="37" t="s">
        <v>157</v>
      </c>
      <c r="G81" s="85">
        <f t="shared" si="1"/>
        <v>85.90000000000009</v>
      </c>
      <c r="H81" s="85">
        <f>H82</f>
        <v>85.90000000000009</v>
      </c>
      <c r="I81" s="85">
        <f>I82</f>
        <v>0</v>
      </c>
    </row>
    <row r="82" spans="1:9" ht="42.75" customHeight="1">
      <c r="A82" s="46" t="s">
        <v>190</v>
      </c>
      <c r="B82" s="22">
        <v>951</v>
      </c>
      <c r="C82" s="37" t="s">
        <v>148</v>
      </c>
      <c r="D82" s="37" t="s">
        <v>168</v>
      </c>
      <c r="E82" s="37" t="s">
        <v>14</v>
      </c>
      <c r="F82" s="37" t="s">
        <v>191</v>
      </c>
      <c r="G82" s="85">
        <f t="shared" si="1"/>
        <v>85.90000000000009</v>
      </c>
      <c r="H82" s="85">
        <f>4080.62-3994.72</f>
        <v>85.90000000000009</v>
      </c>
      <c r="I82" s="85"/>
    </row>
    <row r="83" spans="1:9" ht="13.5">
      <c r="A83" s="55" t="s">
        <v>198</v>
      </c>
      <c r="B83" s="74">
        <v>951</v>
      </c>
      <c r="C83" s="59" t="s">
        <v>148</v>
      </c>
      <c r="D83" s="59" t="s">
        <v>168</v>
      </c>
      <c r="E83" s="59" t="s">
        <v>20</v>
      </c>
      <c r="F83" s="59" t="s">
        <v>414</v>
      </c>
      <c r="G83" s="94">
        <f t="shared" si="1"/>
        <v>2</v>
      </c>
      <c r="H83" s="94">
        <f>H84</f>
        <v>2</v>
      </c>
      <c r="I83" s="94"/>
    </row>
    <row r="84" spans="1:9" ht="13.5">
      <c r="A84" s="17" t="s">
        <v>194</v>
      </c>
      <c r="B84" s="22">
        <v>951</v>
      </c>
      <c r="C84" s="37" t="s">
        <v>148</v>
      </c>
      <c r="D84" s="37" t="s">
        <v>168</v>
      </c>
      <c r="E84" s="37" t="s">
        <v>20</v>
      </c>
      <c r="F84" s="37" t="s">
        <v>195</v>
      </c>
      <c r="G84" s="85">
        <f t="shared" si="1"/>
        <v>2</v>
      </c>
      <c r="H84" s="85">
        <f>H85</f>
        <v>2</v>
      </c>
      <c r="I84" s="85"/>
    </row>
    <row r="85" spans="1:9" ht="13.5">
      <c r="A85" s="17" t="s">
        <v>198</v>
      </c>
      <c r="B85" s="22">
        <v>951</v>
      </c>
      <c r="C85" s="37" t="s">
        <v>148</v>
      </c>
      <c r="D85" s="37" t="s">
        <v>168</v>
      </c>
      <c r="E85" s="37" t="s">
        <v>20</v>
      </c>
      <c r="F85" s="37" t="s">
        <v>199</v>
      </c>
      <c r="G85" s="85">
        <f t="shared" si="1"/>
        <v>2</v>
      </c>
      <c r="H85" s="85">
        <v>2</v>
      </c>
      <c r="I85" s="85"/>
    </row>
    <row r="86" spans="1:9" ht="41.25">
      <c r="A86" s="55" t="s">
        <v>372</v>
      </c>
      <c r="B86" s="74">
        <v>951</v>
      </c>
      <c r="C86" s="59" t="s">
        <v>148</v>
      </c>
      <c r="D86" s="59" t="s">
        <v>168</v>
      </c>
      <c r="E86" s="59" t="s">
        <v>21</v>
      </c>
      <c r="F86" s="59" t="s">
        <v>414</v>
      </c>
      <c r="G86" s="94">
        <f t="shared" si="1"/>
        <v>750</v>
      </c>
      <c r="H86" s="94">
        <f>H87</f>
        <v>750</v>
      </c>
      <c r="I86" s="94">
        <f>I87</f>
        <v>0</v>
      </c>
    </row>
    <row r="87" spans="1:9" ht="27">
      <c r="A87" s="17" t="s">
        <v>189</v>
      </c>
      <c r="B87" s="22">
        <v>951</v>
      </c>
      <c r="C87" s="37" t="s">
        <v>148</v>
      </c>
      <c r="D87" s="37" t="s">
        <v>168</v>
      </c>
      <c r="E87" s="37" t="s">
        <v>21</v>
      </c>
      <c r="F87" s="37" t="s">
        <v>157</v>
      </c>
      <c r="G87" s="85">
        <f t="shared" si="1"/>
        <v>750</v>
      </c>
      <c r="H87" s="85">
        <f>H88</f>
        <v>750</v>
      </c>
      <c r="I87" s="85">
        <f>I88</f>
        <v>0</v>
      </c>
    </row>
    <row r="88" spans="1:9" ht="41.25">
      <c r="A88" s="46" t="s">
        <v>190</v>
      </c>
      <c r="B88" s="22">
        <v>951</v>
      </c>
      <c r="C88" s="37" t="s">
        <v>148</v>
      </c>
      <c r="D88" s="37" t="s">
        <v>168</v>
      </c>
      <c r="E88" s="37" t="s">
        <v>21</v>
      </c>
      <c r="F88" s="37" t="s">
        <v>191</v>
      </c>
      <c r="G88" s="85">
        <f t="shared" si="1"/>
        <v>750</v>
      </c>
      <c r="H88" s="85">
        <f>430+320</f>
        <v>750</v>
      </c>
      <c r="I88" s="85"/>
    </row>
    <row r="89" spans="1:9" ht="13.5">
      <c r="A89" s="56" t="s">
        <v>519</v>
      </c>
      <c r="B89" s="74" t="s">
        <v>178</v>
      </c>
      <c r="C89" s="59" t="s">
        <v>148</v>
      </c>
      <c r="D89" s="59" t="s">
        <v>168</v>
      </c>
      <c r="E89" s="59" t="s">
        <v>520</v>
      </c>
      <c r="F89" s="59" t="s">
        <v>414</v>
      </c>
      <c r="G89" s="94">
        <f aca="true" t="shared" si="6" ref="G89:G98">H89</f>
        <v>1035.0870100000002</v>
      </c>
      <c r="H89" s="94">
        <f>H90+H92</f>
        <v>1035.0870100000002</v>
      </c>
      <c r="I89" s="94"/>
    </row>
    <row r="90" spans="1:9" ht="27">
      <c r="A90" s="17" t="s">
        <v>189</v>
      </c>
      <c r="B90" s="22" t="s">
        <v>178</v>
      </c>
      <c r="C90" s="37" t="s">
        <v>148</v>
      </c>
      <c r="D90" s="37" t="s">
        <v>168</v>
      </c>
      <c r="E90" s="37" t="s">
        <v>520</v>
      </c>
      <c r="F90" s="37" t="s">
        <v>157</v>
      </c>
      <c r="G90" s="85">
        <f t="shared" si="6"/>
        <v>1035.0870100000002</v>
      </c>
      <c r="H90" s="85">
        <f>H91</f>
        <v>1035.0870100000002</v>
      </c>
      <c r="I90" s="85"/>
    </row>
    <row r="91" spans="1:9" ht="41.25">
      <c r="A91" s="46" t="s">
        <v>190</v>
      </c>
      <c r="B91" s="22" t="s">
        <v>178</v>
      </c>
      <c r="C91" s="37" t="s">
        <v>148</v>
      </c>
      <c r="D91" s="37" t="s">
        <v>168</v>
      </c>
      <c r="E91" s="37" t="s">
        <v>520</v>
      </c>
      <c r="F91" s="37" t="s">
        <v>191</v>
      </c>
      <c r="G91" s="85">
        <f t="shared" si="6"/>
        <v>1035.0870100000002</v>
      </c>
      <c r="H91" s="85">
        <f>1402.9-504.6-2+138.78701</f>
        <v>1035.0870100000002</v>
      </c>
      <c r="I91" s="85"/>
    </row>
    <row r="92" spans="1:9" ht="13.5" hidden="1">
      <c r="A92" s="17" t="s">
        <v>194</v>
      </c>
      <c r="B92" s="22" t="s">
        <v>178</v>
      </c>
      <c r="C92" s="37" t="s">
        <v>148</v>
      </c>
      <c r="D92" s="37" t="s">
        <v>168</v>
      </c>
      <c r="E92" s="37" t="s">
        <v>520</v>
      </c>
      <c r="F92" s="37" t="s">
        <v>195</v>
      </c>
      <c r="G92" s="85">
        <f t="shared" si="6"/>
        <v>0</v>
      </c>
      <c r="H92" s="85">
        <f>H93</f>
        <v>0</v>
      </c>
      <c r="I92" s="85"/>
    </row>
    <row r="93" spans="1:9" ht="13.5" hidden="1">
      <c r="A93" s="38" t="s">
        <v>192</v>
      </c>
      <c r="B93" s="22" t="s">
        <v>178</v>
      </c>
      <c r="C93" s="37" t="s">
        <v>148</v>
      </c>
      <c r="D93" s="37" t="s">
        <v>168</v>
      </c>
      <c r="E93" s="37" t="s">
        <v>520</v>
      </c>
      <c r="F93" s="37" t="s">
        <v>193</v>
      </c>
      <c r="G93" s="85">
        <f t="shared" si="6"/>
        <v>0</v>
      </c>
      <c r="H93" s="85"/>
      <c r="I93" s="85"/>
    </row>
    <row r="94" spans="1:9" ht="13.5" hidden="1">
      <c r="A94" s="100" t="s">
        <v>549</v>
      </c>
      <c r="B94" s="74" t="s">
        <v>178</v>
      </c>
      <c r="C94" s="59" t="s">
        <v>148</v>
      </c>
      <c r="D94" s="59" t="s">
        <v>168</v>
      </c>
      <c r="E94" s="59" t="s">
        <v>550</v>
      </c>
      <c r="F94" s="59" t="s">
        <v>414</v>
      </c>
      <c r="G94" s="94">
        <f t="shared" si="6"/>
        <v>0</v>
      </c>
      <c r="H94" s="94">
        <f>H95+H97</f>
        <v>0</v>
      </c>
      <c r="I94" s="94"/>
    </row>
    <row r="95" spans="1:9" ht="27" hidden="1">
      <c r="A95" s="17" t="s">
        <v>189</v>
      </c>
      <c r="B95" s="22" t="s">
        <v>178</v>
      </c>
      <c r="C95" s="37" t="s">
        <v>148</v>
      </c>
      <c r="D95" s="37" t="s">
        <v>168</v>
      </c>
      <c r="E95" s="37" t="s">
        <v>550</v>
      </c>
      <c r="F95" s="37" t="s">
        <v>157</v>
      </c>
      <c r="G95" s="85">
        <f t="shared" si="6"/>
        <v>0</v>
      </c>
      <c r="H95" s="85">
        <f>H96</f>
        <v>0</v>
      </c>
      <c r="I95" s="94"/>
    </row>
    <row r="96" spans="1:9" ht="41.25" hidden="1">
      <c r="A96" s="46" t="s">
        <v>190</v>
      </c>
      <c r="B96" s="22" t="s">
        <v>178</v>
      </c>
      <c r="C96" s="37" t="s">
        <v>148</v>
      </c>
      <c r="D96" s="37" t="s">
        <v>168</v>
      </c>
      <c r="E96" s="37" t="s">
        <v>550</v>
      </c>
      <c r="F96" s="37" t="s">
        <v>191</v>
      </c>
      <c r="G96" s="85">
        <f t="shared" si="6"/>
        <v>0</v>
      </c>
      <c r="H96" s="85"/>
      <c r="I96" s="85"/>
    </row>
    <row r="97" spans="1:9" ht="13.5" hidden="1">
      <c r="A97" s="17" t="s">
        <v>194</v>
      </c>
      <c r="B97" s="22" t="s">
        <v>178</v>
      </c>
      <c r="C97" s="37" t="s">
        <v>148</v>
      </c>
      <c r="D97" s="37" t="s">
        <v>168</v>
      </c>
      <c r="E97" s="37" t="s">
        <v>550</v>
      </c>
      <c r="F97" s="37" t="s">
        <v>195</v>
      </c>
      <c r="G97" s="85">
        <f t="shared" si="6"/>
        <v>0</v>
      </c>
      <c r="H97" s="85">
        <f>H98</f>
        <v>0</v>
      </c>
      <c r="I97" s="85"/>
    </row>
    <row r="98" spans="1:9" ht="13.5" hidden="1">
      <c r="A98" s="38" t="s">
        <v>192</v>
      </c>
      <c r="B98" s="22" t="s">
        <v>178</v>
      </c>
      <c r="C98" s="37" t="s">
        <v>148</v>
      </c>
      <c r="D98" s="37" t="s">
        <v>168</v>
      </c>
      <c r="E98" s="37" t="s">
        <v>550</v>
      </c>
      <c r="F98" s="37" t="s">
        <v>193</v>
      </c>
      <c r="G98" s="85">
        <f t="shared" si="6"/>
        <v>0</v>
      </c>
      <c r="H98" s="85"/>
      <c r="I98" s="85"/>
    </row>
    <row r="99" spans="1:9" ht="60.75" customHeight="1">
      <c r="A99" s="72" t="s">
        <v>564</v>
      </c>
      <c r="B99" s="87" t="s">
        <v>178</v>
      </c>
      <c r="C99" s="73" t="s">
        <v>148</v>
      </c>
      <c r="D99" s="73" t="s">
        <v>168</v>
      </c>
      <c r="E99" s="73" t="s">
        <v>322</v>
      </c>
      <c r="F99" s="73" t="s">
        <v>414</v>
      </c>
      <c r="G99" s="88">
        <f>H99+I99</f>
        <v>846.0768</v>
      </c>
      <c r="H99" s="88">
        <v>0</v>
      </c>
      <c r="I99" s="88">
        <f>I100</f>
        <v>846.0768</v>
      </c>
    </row>
    <row r="100" spans="1:9" ht="27">
      <c r="A100" s="17" t="s">
        <v>509</v>
      </c>
      <c r="B100" s="22" t="s">
        <v>178</v>
      </c>
      <c r="C100" s="37" t="s">
        <v>148</v>
      </c>
      <c r="D100" s="37" t="s">
        <v>168</v>
      </c>
      <c r="E100" s="37" t="s">
        <v>10</v>
      </c>
      <c r="F100" s="37" t="s">
        <v>414</v>
      </c>
      <c r="G100" s="85">
        <f aca="true" t="shared" si="7" ref="G100:G108">H100+I100</f>
        <v>846.0768</v>
      </c>
      <c r="H100" s="85"/>
      <c r="I100" s="85">
        <f>I101</f>
        <v>846.0768</v>
      </c>
    </row>
    <row r="101" spans="1:11" ht="41.25">
      <c r="A101" s="17" t="s">
        <v>152</v>
      </c>
      <c r="B101" s="22" t="s">
        <v>178</v>
      </c>
      <c r="C101" s="37" t="s">
        <v>148</v>
      </c>
      <c r="D101" s="37" t="s">
        <v>168</v>
      </c>
      <c r="E101" s="37" t="s">
        <v>11</v>
      </c>
      <c r="F101" s="37" t="s">
        <v>414</v>
      </c>
      <c r="G101" s="85">
        <f t="shared" si="7"/>
        <v>846.0768</v>
      </c>
      <c r="H101" s="85"/>
      <c r="I101" s="85">
        <f>I102+I104</f>
        <v>846.0768</v>
      </c>
      <c r="J101" s="291"/>
      <c r="K101" s="207"/>
    </row>
    <row r="102" spans="1:9" ht="82.5">
      <c r="A102" s="17" t="s">
        <v>186</v>
      </c>
      <c r="B102" s="22" t="s">
        <v>178</v>
      </c>
      <c r="C102" s="37" t="s">
        <v>148</v>
      </c>
      <c r="D102" s="37" t="s">
        <v>168</v>
      </c>
      <c r="E102" s="37" t="s">
        <v>565</v>
      </c>
      <c r="F102" s="37" t="s">
        <v>153</v>
      </c>
      <c r="G102" s="85">
        <f t="shared" si="7"/>
        <v>809.18993</v>
      </c>
      <c r="H102" s="85">
        <v>0</v>
      </c>
      <c r="I102" s="85">
        <f>I103</f>
        <v>809.18993</v>
      </c>
    </row>
    <row r="103" spans="1:9" ht="27">
      <c r="A103" s="17" t="s">
        <v>188</v>
      </c>
      <c r="B103" s="22" t="s">
        <v>178</v>
      </c>
      <c r="C103" s="37" t="s">
        <v>148</v>
      </c>
      <c r="D103" s="37" t="s">
        <v>168</v>
      </c>
      <c r="E103" s="37" t="s">
        <v>565</v>
      </c>
      <c r="F103" s="37" t="s">
        <v>187</v>
      </c>
      <c r="G103" s="85">
        <f t="shared" si="7"/>
        <v>809.18993</v>
      </c>
      <c r="H103" s="85"/>
      <c r="I103" s="85">
        <f>843.033-33.84307</f>
        <v>809.18993</v>
      </c>
    </row>
    <row r="104" spans="1:9" ht="27">
      <c r="A104" s="17" t="s">
        <v>189</v>
      </c>
      <c r="B104" s="22" t="s">
        <v>178</v>
      </c>
      <c r="C104" s="37" t="s">
        <v>148</v>
      </c>
      <c r="D104" s="37" t="s">
        <v>168</v>
      </c>
      <c r="E104" s="37" t="s">
        <v>565</v>
      </c>
      <c r="F104" s="37" t="s">
        <v>157</v>
      </c>
      <c r="G104" s="85">
        <f t="shared" si="7"/>
        <v>36.88687</v>
      </c>
      <c r="H104" s="85">
        <v>0</v>
      </c>
      <c r="I104" s="85">
        <f>I105</f>
        <v>36.88687</v>
      </c>
    </row>
    <row r="105" spans="1:9" ht="41.25">
      <c r="A105" s="46" t="s">
        <v>190</v>
      </c>
      <c r="B105" s="22" t="s">
        <v>178</v>
      </c>
      <c r="C105" s="37" t="s">
        <v>148</v>
      </c>
      <c r="D105" s="37" t="s">
        <v>168</v>
      </c>
      <c r="E105" s="37" t="s">
        <v>565</v>
      </c>
      <c r="F105" s="37" t="s">
        <v>191</v>
      </c>
      <c r="G105" s="85">
        <f t="shared" si="7"/>
        <v>36.88687</v>
      </c>
      <c r="H105" s="85"/>
      <c r="I105" s="85">
        <v>36.88687</v>
      </c>
    </row>
    <row r="106" spans="1:9" ht="41.25">
      <c r="A106" s="56" t="s">
        <v>764</v>
      </c>
      <c r="B106" s="74" t="s">
        <v>178</v>
      </c>
      <c r="C106" s="59" t="s">
        <v>148</v>
      </c>
      <c r="D106" s="59" t="s">
        <v>168</v>
      </c>
      <c r="E106" s="59" t="s">
        <v>765</v>
      </c>
      <c r="F106" s="59" t="s">
        <v>414</v>
      </c>
      <c r="G106" s="94">
        <f t="shared" si="7"/>
        <v>173.324</v>
      </c>
      <c r="H106" s="94">
        <f>H107</f>
        <v>173.324</v>
      </c>
      <c r="I106" s="85"/>
    </row>
    <row r="107" spans="1:9" ht="27">
      <c r="A107" s="17" t="s">
        <v>189</v>
      </c>
      <c r="B107" s="22" t="s">
        <v>178</v>
      </c>
      <c r="C107" s="37" t="s">
        <v>148</v>
      </c>
      <c r="D107" s="37" t="s">
        <v>168</v>
      </c>
      <c r="E107" s="37" t="s">
        <v>765</v>
      </c>
      <c r="F107" s="37" t="s">
        <v>157</v>
      </c>
      <c r="G107" s="85">
        <f t="shared" si="7"/>
        <v>173.324</v>
      </c>
      <c r="H107" s="85">
        <f>H108</f>
        <v>173.324</v>
      </c>
      <c r="I107" s="85"/>
    </row>
    <row r="108" spans="1:9" ht="41.25">
      <c r="A108" s="46" t="s">
        <v>190</v>
      </c>
      <c r="B108" s="22" t="s">
        <v>178</v>
      </c>
      <c r="C108" s="37" t="s">
        <v>148</v>
      </c>
      <c r="D108" s="37" t="s">
        <v>168</v>
      </c>
      <c r="E108" s="37" t="s">
        <v>765</v>
      </c>
      <c r="F108" s="37" t="s">
        <v>191</v>
      </c>
      <c r="G108" s="85">
        <f t="shared" si="7"/>
        <v>173.324</v>
      </c>
      <c r="H108" s="85">
        <f>11.45+24.964+25.292+6.497+16.526+16.045+27.55+20+5+20</f>
        <v>173.324</v>
      </c>
      <c r="I108" s="85"/>
    </row>
    <row r="109" spans="1:9" ht="28.5">
      <c r="A109" s="72" t="s">
        <v>958</v>
      </c>
      <c r="B109" s="87" t="s">
        <v>178</v>
      </c>
      <c r="C109" s="73" t="s">
        <v>148</v>
      </c>
      <c r="D109" s="73" t="s">
        <v>168</v>
      </c>
      <c r="E109" s="73" t="s">
        <v>959</v>
      </c>
      <c r="F109" s="73" t="s">
        <v>414</v>
      </c>
      <c r="G109" s="88">
        <f>H109+I109</f>
        <v>222.57000000000002</v>
      </c>
      <c r="H109" s="88">
        <f>H110</f>
        <v>222.57000000000002</v>
      </c>
      <c r="I109" s="88"/>
    </row>
    <row r="110" spans="1:9" ht="30" customHeight="1">
      <c r="A110" s="17" t="s">
        <v>189</v>
      </c>
      <c r="B110" s="22" t="s">
        <v>178</v>
      </c>
      <c r="C110" s="37" t="s">
        <v>148</v>
      </c>
      <c r="D110" s="37" t="s">
        <v>168</v>
      </c>
      <c r="E110" s="37" t="s">
        <v>959</v>
      </c>
      <c r="F110" s="37" t="s">
        <v>157</v>
      </c>
      <c r="G110" s="85">
        <f>H110+I110</f>
        <v>222.57000000000002</v>
      </c>
      <c r="H110" s="85">
        <f>H111</f>
        <v>222.57000000000002</v>
      </c>
      <c r="I110" s="85"/>
    </row>
    <row r="111" spans="1:9" ht="45" customHeight="1">
      <c r="A111" s="46" t="s">
        <v>190</v>
      </c>
      <c r="B111" s="22" t="s">
        <v>178</v>
      </c>
      <c r="C111" s="37" t="s">
        <v>148</v>
      </c>
      <c r="D111" s="37" t="s">
        <v>168</v>
      </c>
      <c r="E111" s="37" t="s">
        <v>959</v>
      </c>
      <c r="F111" s="37" t="s">
        <v>191</v>
      </c>
      <c r="G111" s="85">
        <f>H111+I111</f>
        <v>222.57000000000002</v>
      </c>
      <c r="H111" s="85">
        <f>9.24+213.33</f>
        <v>222.57000000000002</v>
      </c>
      <c r="I111" s="85"/>
    </row>
    <row r="112" spans="1:9" ht="41.25">
      <c r="A112" s="55" t="s">
        <v>477</v>
      </c>
      <c r="B112" s="74">
        <v>951</v>
      </c>
      <c r="C112" s="59" t="s">
        <v>148</v>
      </c>
      <c r="D112" s="59" t="s">
        <v>168</v>
      </c>
      <c r="E112" s="59" t="s">
        <v>31</v>
      </c>
      <c r="F112" s="59" t="s">
        <v>414</v>
      </c>
      <c r="G112" s="94">
        <f t="shared" si="1"/>
        <v>83</v>
      </c>
      <c r="H112" s="94">
        <f>H116+H124+H113+H127</f>
        <v>83</v>
      </c>
      <c r="I112" s="94">
        <f>I116</f>
        <v>0</v>
      </c>
    </row>
    <row r="113" spans="1:9" ht="27" hidden="1">
      <c r="A113" s="81" t="s">
        <v>33</v>
      </c>
      <c r="B113" s="74">
        <v>951</v>
      </c>
      <c r="C113" s="59" t="s">
        <v>148</v>
      </c>
      <c r="D113" s="59" t="s">
        <v>168</v>
      </c>
      <c r="E113" s="22" t="s">
        <v>32</v>
      </c>
      <c r="F113" s="37" t="s">
        <v>414</v>
      </c>
      <c r="G113" s="85">
        <f t="shared" si="1"/>
        <v>0</v>
      </c>
      <c r="H113" s="85">
        <f>H114</f>
        <v>0</v>
      </c>
      <c r="I113" s="85">
        <f>I114</f>
        <v>0</v>
      </c>
    </row>
    <row r="114" spans="1:9" ht="27" hidden="1">
      <c r="A114" s="17" t="s">
        <v>189</v>
      </c>
      <c r="B114" s="74">
        <v>951</v>
      </c>
      <c r="C114" s="59" t="s">
        <v>148</v>
      </c>
      <c r="D114" s="59" t="s">
        <v>168</v>
      </c>
      <c r="E114" s="22" t="s">
        <v>32</v>
      </c>
      <c r="F114" s="37" t="s">
        <v>157</v>
      </c>
      <c r="G114" s="85">
        <f t="shared" si="1"/>
        <v>0</v>
      </c>
      <c r="H114" s="85">
        <f>H115</f>
        <v>0</v>
      </c>
      <c r="I114" s="85">
        <f>I115</f>
        <v>0</v>
      </c>
    </row>
    <row r="115" spans="1:9" ht="41.25" hidden="1">
      <c r="A115" s="46" t="s">
        <v>190</v>
      </c>
      <c r="B115" s="74">
        <v>951</v>
      </c>
      <c r="C115" s="59" t="s">
        <v>148</v>
      </c>
      <c r="D115" s="59" t="s">
        <v>168</v>
      </c>
      <c r="E115" s="22" t="s">
        <v>32</v>
      </c>
      <c r="F115" s="37" t="s">
        <v>191</v>
      </c>
      <c r="G115" s="85">
        <f t="shared" si="1"/>
        <v>0</v>
      </c>
      <c r="H115" s="85"/>
      <c r="I115" s="85"/>
    </row>
    <row r="116" spans="1:9" ht="27">
      <c r="A116" s="137" t="s">
        <v>297</v>
      </c>
      <c r="B116" s="74">
        <v>951</v>
      </c>
      <c r="C116" s="59" t="s">
        <v>148</v>
      </c>
      <c r="D116" s="59" t="s">
        <v>168</v>
      </c>
      <c r="E116" s="22" t="s">
        <v>49</v>
      </c>
      <c r="F116" s="37" t="s">
        <v>414</v>
      </c>
      <c r="G116" s="85">
        <f>G117</f>
        <v>0</v>
      </c>
      <c r="H116" s="85">
        <f>H117</f>
        <v>0</v>
      </c>
      <c r="I116" s="85">
        <f>I117</f>
        <v>0</v>
      </c>
    </row>
    <row r="117" spans="1:9" ht="54.75" hidden="1">
      <c r="A117" s="55" t="s">
        <v>690</v>
      </c>
      <c r="B117" s="74">
        <v>951</v>
      </c>
      <c r="C117" s="59" t="s">
        <v>148</v>
      </c>
      <c r="D117" s="59" t="s">
        <v>168</v>
      </c>
      <c r="E117" s="59" t="s">
        <v>322</v>
      </c>
      <c r="F117" s="59" t="s">
        <v>414</v>
      </c>
      <c r="G117" s="94">
        <f>H117+I117</f>
        <v>0</v>
      </c>
      <c r="H117" s="94">
        <f>H121</f>
        <v>0</v>
      </c>
      <c r="I117" s="94">
        <f>I118</f>
        <v>0</v>
      </c>
    </row>
    <row r="118" spans="1:9" ht="69" hidden="1">
      <c r="A118" s="17" t="s">
        <v>711</v>
      </c>
      <c r="B118" s="22">
        <v>951</v>
      </c>
      <c r="C118" s="37" t="s">
        <v>148</v>
      </c>
      <c r="D118" s="37" t="s">
        <v>168</v>
      </c>
      <c r="E118" s="37" t="s">
        <v>696</v>
      </c>
      <c r="F118" s="37" t="s">
        <v>414</v>
      </c>
      <c r="G118" s="85">
        <f aca="true" t="shared" si="8" ref="G118:G123">H118+I118</f>
        <v>0</v>
      </c>
      <c r="H118" s="85"/>
      <c r="I118" s="85">
        <f>I119</f>
        <v>0</v>
      </c>
    </row>
    <row r="119" spans="1:9" ht="41.25" hidden="1">
      <c r="A119" s="46" t="s">
        <v>604</v>
      </c>
      <c r="B119" s="22">
        <v>951</v>
      </c>
      <c r="C119" s="37" t="s">
        <v>148</v>
      </c>
      <c r="D119" s="37" t="s">
        <v>168</v>
      </c>
      <c r="E119" s="37" t="s">
        <v>696</v>
      </c>
      <c r="F119" s="37" t="s">
        <v>605</v>
      </c>
      <c r="G119" s="85">
        <f t="shared" si="8"/>
        <v>0</v>
      </c>
      <c r="H119" s="85"/>
      <c r="I119" s="85">
        <f>I120</f>
        <v>0</v>
      </c>
    </row>
    <row r="120" spans="1:9" ht="13.5" hidden="1">
      <c r="A120" s="46" t="s">
        <v>606</v>
      </c>
      <c r="B120" s="22">
        <v>951</v>
      </c>
      <c r="C120" s="37" t="s">
        <v>148</v>
      </c>
      <c r="D120" s="37" t="s">
        <v>168</v>
      </c>
      <c r="E120" s="37" t="s">
        <v>696</v>
      </c>
      <c r="F120" s="37" t="s">
        <v>607</v>
      </c>
      <c r="G120" s="85">
        <f t="shared" si="8"/>
        <v>0</v>
      </c>
      <c r="H120" s="85"/>
      <c r="I120" s="85">
        <v>0</v>
      </c>
    </row>
    <row r="121" spans="1:9" ht="82.5" hidden="1">
      <c r="A121" s="17" t="s">
        <v>712</v>
      </c>
      <c r="B121" s="22">
        <v>951</v>
      </c>
      <c r="C121" s="37" t="s">
        <v>148</v>
      </c>
      <c r="D121" s="37" t="s">
        <v>168</v>
      </c>
      <c r="E121" s="37" t="s">
        <v>750</v>
      </c>
      <c r="F121" s="37" t="s">
        <v>414</v>
      </c>
      <c r="G121" s="85">
        <f t="shared" si="8"/>
        <v>0</v>
      </c>
      <c r="H121" s="85">
        <f>H122</f>
        <v>0</v>
      </c>
      <c r="I121" s="85"/>
    </row>
    <row r="122" spans="1:9" ht="41.25" hidden="1">
      <c r="A122" s="46" t="s">
        <v>604</v>
      </c>
      <c r="B122" s="22">
        <v>951</v>
      </c>
      <c r="C122" s="37" t="s">
        <v>148</v>
      </c>
      <c r="D122" s="37" t="s">
        <v>168</v>
      </c>
      <c r="E122" s="37" t="s">
        <v>750</v>
      </c>
      <c r="F122" s="37" t="s">
        <v>605</v>
      </c>
      <c r="G122" s="85">
        <f t="shared" si="8"/>
        <v>0</v>
      </c>
      <c r="H122" s="85">
        <f>H123</f>
        <v>0</v>
      </c>
      <c r="I122" s="85"/>
    </row>
    <row r="123" spans="1:9" ht="13.5" hidden="1">
      <c r="A123" s="46" t="s">
        <v>606</v>
      </c>
      <c r="B123" s="22">
        <v>951</v>
      </c>
      <c r="C123" s="37" t="s">
        <v>148</v>
      </c>
      <c r="D123" s="37" t="s">
        <v>168</v>
      </c>
      <c r="E123" s="37" t="s">
        <v>750</v>
      </c>
      <c r="F123" s="37" t="s">
        <v>607</v>
      </c>
      <c r="G123" s="85">
        <f t="shared" si="8"/>
        <v>0</v>
      </c>
      <c r="H123" s="85">
        <f>325-255-70</f>
        <v>0</v>
      </c>
      <c r="I123" s="85"/>
    </row>
    <row r="124" spans="1:9" ht="71.25" customHeight="1" hidden="1">
      <c r="A124" s="55" t="s">
        <v>706</v>
      </c>
      <c r="B124" s="74">
        <v>951</v>
      </c>
      <c r="C124" s="59" t="s">
        <v>148</v>
      </c>
      <c r="D124" s="59" t="s">
        <v>168</v>
      </c>
      <c r="E124" s="59" t="s">
        <v>697</v>
      </c>
      <c r="F124" s="59" t="s">
        <v>414</v>
      </c>
      <c r="G124" s="94">
        <f>H124+I124</f>
        <v>0</v>
      </c>
      <c r="H124" s="94">
        <f>H125</f>
        <v>0</v>
      </c>
      <c r="I124" s="94"/>
    </row>
    <row r="125" spans="1:9" ht="27" hidden="1">
      <c r="A125" s="17" t="s">
        <v>189</v>
      </c>
      <c r="B125" s="22">
        <v>951</v>
      </c>
      <c r="C125" s="37" t="s">
        <v>148</v>
      </c>
      <c r="D125" s="37" t="s">
        <v>168</v>
      </c>
      <c r="E125" s="37" t="s">
        <v>697</v>
      </c>
      <c r="F125" s="37" t="s">
        <v>157</v>
      </c>
      <c r="G125" s="85">
        <f>H125+I125</f>
        <v>0</v>
      </c>
      <c r="H125" s="85">
        <f>H126</f>
        <v>0</v>
      </c>
      <c r="I125" s="85"/>
    </row>
    <row r="126" spans="1:9" ht="41.25" hidden="1">
      <c r="A126" s="46" t="s">
        <v>190</v>
      </c>
      <c r="B126" s="22">
        <v>951</v>
      </c>
      <c r="C126" s="37" t="s">
        <v>148</v>
      </c>
      <c r="D126" s="37" t="s">
        <v>168</v>
      </c>
      <c r="E126" s="37" t="s">
        <v>697</v>
      </c>
      <c r="F126" s="37" t="s">
        <v>191</v>
      </c>
      <c r="G126" s="85">
        <f>H126+I126</f>
        <v>0</v>
      </c>
      <c r="H126" s="85">
        <v>0</v>
      </c>
      <c r="I126" s="85"/>
    </row>
    <row r="127" spans="1:9" ht="33" customHeight="1">
      <c r="A127" s="81" t="s">
        <v>36</v>
      </c>
      <c r="B127" s="22">
        <v>951</v>
      </c>
      <c r="C127" s="37" t="s">
        <v>148</v>
      </c>
      <c r="D127" s="37" t="s">
        <v>168</v>
      </c>
      <c r="E127" s="37" t="s">
        <v>37</v>
      </c>
      <c r="F127" s="37" t="s">
        <v>414</v>
      </c>
      <c r="G127" s="85">
        <f t="shared" si="1"/>
        <v>83</v>
      </c>
      <c r="H127" s="85">
        <f>H128</f>
        <v>83</v>
      </c>
      <c r="I127" s="85">
        <f>I128</f>
        <v>0</v>
      </c>
    </row>
    <row r="128" spans="1:9" ht="29.25" customHeight="1">
      <c r="A128" s="17" t="s">
        <v>189</v>
      </c>
      <c r="B128" s="22">
        <v>951</v>
      </c>
      <c r="C128" s="37" t="s">
        <v>148</v>
      </c>
      <c r="D128" s="37" t="s">
        <v>168</v>
      </c>
      <c r="E128" s="37" t="s">
        <v>699</v>
      </c>
      <c r="F128" s="37" t="s">
        <v>157</v>
      </c>
      <c r="G128" s="85">
        <f t="shared" si="1"/>
        <v>83</v>
      </c>
      <c r="H128" s="85">
        <f>H129</f>
        <v>83</v>
      </c>
      <c r="I128" s="85">
        <f>I129</f>
        <v>0</v>
      </c>
    </row>
    <row r="129" spans="1:9" ht="43.5" customHeight="1">
      <c r="A129" s="46" t="s">
        <v>190</v>
      </c>
      <c r="B129" s="22">
        <v>951</v>
      </c>
      <c r="C129" s="37" t="s">
        <v>148</v>
      </c>
      <c r="D129" s="37" t="s">
        <v>168</v>
      </c>
      <c r="E129" s="37" t="s">
        <v>699</v>
      </c>
      <c r="F129" s="37" t="s">
        <v>191</v>
      </c>
      <c r="G129" s="85">
        <f t="shared" si="1"/>
        <v>83</v>
      </c>
      <c r="H129" s="85">
        <v>83</v>
      </c>
      <c r="I129" s="85"/>
    </row>
    <row r="130" spans="1:9" ht="54.75">
      <c r="A130" s="55" t="s">
        <v>492</v>
      </c>
      <c r="B130" s="74">
        <v>951</v>
      </c>
      <c r="C130" s="59" t="s">
        <v>148</v>
      </c>
      <c r="D130" s="59" t="s">
        <v>168</v>
      </c>
      <c r="E130" s="59" t="s">
        <v>38</v>
      </c>
      <c r="F130" s="59" t="s">
        <v>414</v>
      </c>
      <c r="G130" s="94">
        <f t="shared" si="1"/>
        <v>10</v>
      </c>
      <c r="H130" s="94">
        <f>H131</f>
        <v>10</v>
      </c>
      <c r="I130" s="94">
        <f>I131</f>
        <v>0</v>
      </c>
    </row>
    <row r="131" spans="1:9" ht="33.75" customHeight="1">
      <c r="A131" s="17" t="s">
        <v>189</v>
      </c>
      <c r="B131" s="22">
        <v>951</v>
      </c>
      <c r="C131" s="37" t="s">
        <v>148</v>
      </c>
      <c r="D131" s="37" t="s">
        <v>168</v>
      </c>
      <c r="E131" s="37" t="s">
        <v>40</v>
      </c>
      <c r="F131" s="37" t="s">
        <v>157</v>
      </c>
      <c r="G131" s="85">
        <f t="shared" si="1"/>
        <v>10</v>
      </c>
      <c r="H131" s="85">
        <f>H132</f>
        <v>10</v>
      </c>
      <c r="I131" s="85">
        <f>I132</f>
        <v>0</v>
      </c>
    </row>
    <row r="132" spans="1:9" ht="41.25">
      <c r="A132" s="46" t="s">
        <v>190</v>
      </c>
      <c r="B132" s="22">
        <v>951</v>
      </c>
      <c r="C132" s="37" t="s">
        <v>148</v>
      </c>
      <c r="D132" s="37" t="s">
        <v>168</v>
      </c>
      <c r="E132" s="37" t="s">
        <v>40</v>
      </c>
      <c r="F132" s="37" t="s">
        <v>191</v>
      </c>
      <c r="G132" s="85">
        <f t="shared" si="1"/>
        <v>10</v>
      </c>
      <c r="H132" s="85">
        <v>10</v>
      </c>
      <c r="I132" s="85"/>
    </row>
    <row r="133" spans="1:9" ht="41.25">
      <c r="A133" s="56" t="s">
        <v>860</v>
      </c>
      <c r="B133" s="74" t="s">
        <v>178</v>
      </c>
      <c r="C133" s="59" t="s">
        <v>148</v>
      </c>
      <c r="D133" s="59" t="s">
        <v>168</v>
      </c>
      <c r="E133" s="59" t="s">
        <v>566</v>
      </c>
      <c r="F133" s="59" t="s">
        <v>414</v>
      </c>
      <c r="G133" s="94">
        <f t="shared" si="1"/>
        <v>15</v>
      </c>
      <c r="H133" s="94">
        <f>H134</f>
        <v>15</v>
      </c>
      <c r="I133" s="94"/>
    </row>
    <row r="134" spans="1:9" ht="48" customHeight="1">
      <c r="A134" s="46" t="s">
        <v>567</v>
      </c>
      <c r="B134" s="74" t="s">
        <v>178</v>
      </c>
      <c r="C134" s="37" t="s">
        <v>148</v>
      </c>
      <c r="D134" s="37" t="s">
        <v>168</v>
      </c>
      <c r="E134" s="37" t="s">
        <v>568</v>
      </c>
      <c r="F134" s="37" t="s">
        <v>157</v>
      </c>
      <c r="G134" s="85">
        <f t="shared" si="1"/>
        <v>15</v>
      </c>
      <c r="H134" s="85">
        <f>H135</f>
        <v>15</v>
      </c>
      <c r="I134" s="85"/>
    </row>
    <row r="135" spans="1:9" ht="16.5" customHeight="1">
      <c r="A135" s="46" t="s">
        <v>622</v>
      </c>
      <c r="B135" s="74" t="s">
        <v>178</v>
      </c>
      <c r="C135" s="37" t="s">
        <v>148</v>
      </c>
      <c r="D135" s="37" t="s">
        <v>168</v>
      </c>
      <c r="E135" s="37" t="s">
        <v>570</v>
      </c>
      <c r="F135" s="37" t="s">
        <v>191</v>
      </c>
      <c r="G135" s="85">
        <f t="shared" si="1"/>
        <v>15</v>
      </c>
      <c r="H135" s="85">
        <v>15</v>
      </c>
      <c r="I135" s="85"/>
    </row>
    <row r="136" spans="1:9" ht="13.5" hidden="1">
      <c r="A136" s="79" t="s">
        <v>376</v>
      </c>
      <c r="B136" s="74" t="s">
        <v>178</v>
      </c>
      <c r="C136" s="37" t="s">
        <v>148</v>
      </c>
      <c r="D136" s="37" t="s">
        <v>168</v>
      </c>
      <c r="E136" s="80" t="s">
        <v>322</v>
      </c>
      <c r="F136" s="80" t="s">
        <v>414</v>
      </c>
      <c r="G136" s="93">
        <f>H136+I136</f>
        <v>0</v>
      </c>
      <c r="H136" s="93">
        <f aca="true" t="shared" si="9" ref="H136:I139">H137</f>
        <v>0</v>
      </c>
      <c r="I136" s="93">
        <f t="shared" si="9"/>
        <v>0</v>
      </c>
    </row>
    <row r="137" spans="1:9" ht="69" hidden="1">
      <c r="A137" s="55" t="s">
        <v>552</v>
      </c>
      <c r="B137" s="74" t="s">
        <v>178</v>
      </c>
      <c r="C137" s="37" t="s">
        <v>148</v>
      </c>
      <c r="D137" s="37" t="s">
        <v>168</v>
      </c>
      <c r="E137" s="37" t="s">
        <v>322</v>
      </c>
      <c r="F137" s="37" t="s">
        <v>414</v>
      </c>
      <c r="G137" s="85">
        <f>H137+I137</f>
        <v>0</v>
      </c>
      <c r="H137" s="85">
        <f t="shared" si="9"/>
        <v>0</v>
      </c>
      <c r="I137" s="85">
        <f t="shared" si="9"/>
        <v>0</v>
      </c>
    </row>
    <row r="138" spans="1:9" ht="41.25" hidden="1">
      <c r="A138" s="17" t="s">
        <v>377</v>
      </c>
      <c r="B138" s="74" t="s">
        <v>178</v>
      </c>
      <c r="C138" s="37" t="s">
        <v>148</v>
      </c>
      <c r="D138" s="37" t="s">
        <v>168</v>
      </c>
      <c r="E138" s="37" t="s">
        <v>530</v>
      </c>
      <c r="F138" s="37" t="s">
        <v>414</v>
      </c>
      <c r="G138" s="85">
        <f t="shared" si="1"/>
        <v>0</v>
      </c>
      <c r="H138" s="85">
        <f t="shared" si="9"/>
        <v>0</v>
      </c>
      <c r="I138" s="85">
        <f t="shared" si="9"/>
        <v>0</v>
      </c>
    </row>
    <row r="139" spans="1:9" ht="13.5" hidden="1">
      <c r="A139" s="17" t="s">
        <v>200</v>
      </c>
      <c r="B139" s="74" t="s">
        <v>178</v>
      </c>
      <c r="C139" s="37" t="s">
        <v>148</v>
      </c>
      <c r="D139" s="37" t="s">
        <v>168</v>
      </c>
      <c r="E139" s="37" t="s">
        <v>530</v>
      </c>
      <c r="F139" s="37" t="s">
        <v>201</v>
      </c>
      <c r="G139" s="85">
        <f>H139+I139</f>
        <v>0</v>
      </c>
      <c r="H139" s="85">
        <f t="shared" si="9"/>
        <v>0</v>
      </c>
      <c r="I139" s="85">
        <f t="shared" si="9"/>
        <v>0</v>
      </c>
    </row>
    <row r="140" spans="1:9" ht="13.5" hidden="1">
      <c r="A140" s="17" t="s">
        <v>169</v>
      </c>
      <c r="B140" s="74" t="s">
        <v>178</v>
      </c>
      <c r="C140" s="37" t="s">
        <v>148</v>
      </c>
      <c r="D140" s="37" t="s">
        <v>168</v>
      </c>
      <c r="E140" s="37" t="s">
        <v>530</v>
      </c>
      <c r="F140" s="37" t="s">
        <v>378</v>
      </c>
      <c r="G140" s="85">
        <f>H140+I140</f>
        <v>0</v>
      </c>
      <c r="H140" s="85"/>
      <c r="I140" s="85">
        <v>0</v>
      </c>
    </row>
    <row r="141" spans="1:9" ht="41.25">
      <c r="A141" s="79" t="s">
        <v>379</v>
      </c>
      <c r="B141" s="86" t="s">
        <v>178</v>
      </c>
      <c r="C141" s="80" t="s">
        <v>155</v>
      </c>
      <c r="D141" s="80" t="s">
        <v>149</v>
      </c>
      <c r="E141" s="80" t="s">
        <v>322</v>
      </c>
      <c r="F141" s="80" t="s">
        <v>414</v>
      </c>
      <c r="G141" s="93">
        <f>H141+I141</f>
        <v>100</v>
      </c>
      <c r="H141" s="93">
        <f aca="true" t="shared" si="10" ref="H141:I144">H142</f>
        <v>100</v>
      </c>
      <c r="I141" s="93">
        <f t="shared" si="10"/>
        <v>0</v>
      </c>
    </row>
    <row r="142" spans="1:9" ht="43.5" customHeight="1">
      <c r="A142" s="17" t="s">
        <v>380</v>
      </c>
      <c r="B142" s="74" t="s">
        <v>178</v>
      </c>
      <c r="C142" s="37" t="s">
        <v>155</v>
      </c>
      <c r="D142" s="37" t="s">
        <v>381</v>
      </c>
      <c r="E142" s="37" t="s">
        <v>22</v>
      </c>
      <c r="F142" s="37" t="s">
        <v>414</v>
      </c>
      <c r="G142" s="85">
        <f aca="true" t="shared" si="11" ref="G142:G339">H142+I142</f>
        <v>100</v>
      </c>
      <c r="H142" s="85">
        <f>H143</f>
        <v>100</v>
      </c>
      <c r="I142" s="85">
        <f t="shared" si="10"/>
        <v>0</v>
      </c>
    </row>
    <row r="143" spans="1:9" ht="43.5" customHeight="1">
      <c r="A143" s="17" t="s">
        <v>382</v>
      </c>
      <c r="B143" s="74" t="s">
        <v>178</v>
      </c>
      <c r="C143" s="37" t="s">
        <v>155</v>
      </c>
      <c r="D143" s="37" t="s">
        <v>381</v>
      </c>
      <c r="E143" s="37" t="s">
        <v>22</v>
      </c>
      <c r="F143" s="37" t="s">
        <v>414</v>
      </c>
      <c r="G143" s="85">
        <f t="shared" si="11"/>
        <v>100</v>
      </c>
      <c r="H143" s="85">
        <f>H144</f>
        <v>100</v>
      </c>
      <c r="I143" s="85">
        <f t="shared" si="10"/>
        <v>0</v>
      </c>
    </row>
    <row r="144" spans="1:9" ht="31.5" customHeight="1">
      <c r="A144" s="17" t="s">
        <v>189</v>
      </c>
      <c r="B144" s="74" t="s">
        <v>178</v>
      </c>
      <c r="C144" s="37" t="s">
        <v>155</v>
      </c>
      <c r="D144" s="37" t="s">
        <v>381</v>
      </c>
      <c r="E144" s="37" t="s">
        <v>22</v>
      </c>
      <c r="F144" s="37" t="s">
        <v>157</v>
      </c>
      <c r="G144" s="85">
        <f t="shared" si="11"/>
        <v>100</v>
      </c>
      <c r="H144" s="85">
        <f>H145</f>
        <v>100</v>
      </c>
      <c r="I144" s="85">
        <f t="shared" si="10"/>
        <v>0</v>
      </c>
    </row>
    <row r="145" spans="1:9" ht="43.5" customHeight="1">
      <c r="A145" s="46" t="s">
        <v>190</v>
      </c>
      <c r="B145" s="74" t="s">
        <v>178</v>
      </c>
      <c r="C145" s="37" t="s">
        <v>155</v>
      </c>
      <c r="D145" s="37" t="s">
        <v>381</v>
      </c>
      <c r="E145" s="37" t="s">
        <v>22</v>
      </c>
      <c r="F145" s="37" t="s">
        <v>191</v>
      </c>
      <c r="G145" s="85">
        <f t="shared" si="11"/>
        <v>100</v>
      </c>
      <c r="H145" s="85">
        <v>100</v>
      </c>
      <c r="I145" s="85"/>
    </row>
    <row r="146" spans="1:9" ht="84.75" customHeight="1" hidden="1">
      <c r="A146" s="56" t="s">
        <v>778</v>
      </c>
      <c r="B146" s="74" t="s">
        <v>178</v>
      </c>
      <c r="C146" s="37" t="s">
        <v>148</v>
      </c>
      <c r="D146" s="37" t="s">
        <v>168</v>
      </c>
      <c r="E146" s="59" t="s">
        <v>762</v>
      </c>
      <c r="F146" s="37" t="s">
        <v>414</v>
      </c>
      <c r="G146" s="94">
        <f>H146+I146</f>
        <v>0</v>
      </c>
      <c r="H146" s="94"/>
      <c r="I146" s="94">
        <f>I147</f>
        <v>0</v>
      </c>
    </row>
    <row r="147" spans="1:9" ht="84.75" customHeight="1" hidden="1">
      <c r="A147" s="17" t="s">
        <v>186</v>
      </c>
      <c r="B147" s="22" t="s">
        <v>178</v>
      </c>
      <c r="C147" s="37" t="s">
        <v>148</v>
      </c>
      <c r="D147" s="37" t="s">
        <v>168</v>
      </c>
      <c r="E147" s="37" t="s">
        <v>762</v>
      </c>
      <c r="F147" s="37" t="s">
        <v>153</v>
      </c>
      <c r="G147" s="85">
        <f>H147+I147</f>
        <v>0</v>
      </c>
      <c r="H147" s="85"/>
      <c r="I147" s="85">
        <f>I148</f>
        <v>0</v>
      </c>
    </row>
    <row r="148" spans="1:9" ht="30.75" customHeight="1" hidden="1">
      <c r="A148" s="46" t="s">
        <v>188</v>
      </c>
      <c r="B148" s="22" t="s">
        <v>178</v>
      </c>
      <c r="C148" s="37" t="s">
        <v>148</v>
      </c>
      <c r="D148" s="37" t="s">
        <v>168</v>
      </c>
      <c r="E148" s="37" t="s">
        <v>762</v>
      </c>
      <c r="F148" s="37" t="s">
        <v>187</v>
      </c>
      <c r="G148" s="85">
        <f>H148+I148</f>
        <v>0</v>
      </c>
      <c r="H148" s="85"/>
      <c r="I148" s="85">
        <v>0</v>
      </c>
    </row>
    <row r="149" spans="1:9" ht="70.5" customHeight="1" hidden="1">
      <c r="A149" s="56" t="s">
        <v>779</v>
      </c>
      <c r="B149" s="74" t="s">
        <v>178</v>
      </c>
      <c r="C149" s="59" t="s">
        <v>148</v>
      </c>
      <c r="D149" s="59" t="s">
        <v>168</v>
      </c>
      <c r="E149" s="59" t="s">
        <v>763</v>
      </c>
      <c r="F149" s="59" t="s">
        <v>414</v>
      </c>
      <c r="G149" s="94">
        <f>H149</f>
        <v>0</v>
      </c>
      <c r="H149" s="94">
        <f>H150+H152</f>
        <v>0</v>
      </c>
      <c r="I149" s="94"/>
    </row>
    <row r="150" spans="1:9" ht="81.75" customHeight="1" hidden="1">
      <c r="A150" s="17" t="s">
        <v>186</v>
      </c>
      <c r="B150" s="22" t="s">
        <v>178</v>
      </c>
      <c r="C150" s="37" t="s">
        <v>148</v>
      </c>
      <c r="D150" s="37" t="s">
        <v>168</v>
      </c>
      <c r="E150" s="37" t="s">
        <v>763</v>
      </c>
      <c r="F150" s="37" t="s">
        <v>153</v>
      </c>
      <c r="G150" s="85">
        <f>H150</f>
        <v>0</v>
      </c>
      <c r="H150" s="85">
        <f>H151</f>
        <v>0</v>
      </c>
      <c r="I150" s="85"/>
    </row>
    <row r="151" spans="1:9" ht="30" customHeight="1" hidden="1">
      <c r="A151" s="46" t="s">
        <v>188</v>
      </c>
      <c r="B151" s="22" t="s">
        <v>178</v>
      </c>
      <c r="C151" s="37" t="s">
        <v>148</v>
      </c>
      <c r="D151" s="37" t="s">
        <v>168</v>
      </c>
      <c r="E151" s="37" t="s">
        <v>763</v>
      </c>
      <c r="F151" s="37" t="s">
        <v>187</v>
      </c>
      <c r="G151" s="85">
        <f>H151</f>
        <v>0</v>
      </c>
      <c r="H151" s="85">
        <v>0</v>
      </c>
      <c r="I151" s="85"/>
    </row>
    <row r="152" spans="1:9" ht="30.75" customHeight="1" hidden="1">
      <c r="A152" s="17" t="s">
        <v>189</v>
      </c>
      <c r="B152" s="22" t="s">
        <v>178</v>
      </c>
      <c r="C152" s="37" t="s">
        <v>148</v>
      </c>
      <c r="D152" s="37" t="s">
        <v>168</v>
      </c>
      <c r="E152" s="37" t="s">
        <v>763</v>
      </c>
      <c r="F152" s="37" t="s">
        <v>157</v>
      </c>
      <c r="G152" s="85">
        <f>H152</f>
        <v>0</v>
      </c>
      <c r="H152" s="85">
        <f>H153</f>
        <v>0</v>
      </c>
      <c r="I152" s="85"/>
    </row>
    <row r="153" spans="1:9" ht="42" customHeight="1" hidden="1">
      <c r="A153" s="46" t="s">
        <v>190</v>
      </c>
      <c r="B153" s="22" t="s">
        <v>178</v>
      </c>
      <c r="C153" s="37" t="s">
        <v>148</v>
      </c>
      <c r="D153" s="37" t="s">
        <v>168</v>
      </c>
      <c r="E153" s="37" t="s">
        <v>763</v>
      </c>
      <c r="F153" s="37" t="s">
        <v>191</v>
      </c>
      <c r="G153" s="85">
        <f>H153</f>
        <v>0</v>
      </c>
      <c r="H153" s="85">
        <v>0</v>
      </c>
      <c r="I153" s="85"/>
    </row>
    <row r="154" spans="1:9" ht="82.5" customHeight="1" hidden="1">
      <c r="A154" s="56" t="s">
        <v>780</v>
      </c>
      <c r="B154" s="74" t="s">
        <v>178</v>
      </c>
      <c r="C154" s="59" t="s">
        <v>148</v>
      </c>
      <c r="D154" s="59" t="s">
        <v>168</v>
      </c>
      <c r="E154" s="59" t="s">
        <v>781</v>
      </c>
      <c r="F154" s="59" t="s">
        <v>414</v>
      </c>
      <c r="G154" s="94">
        <f aca="true" t="shared" si="12" ref="G154:G161">H154+I154</f>
        <v>0</v>
      </c>
      <c r="H154" s="94"/>
      <c r="I154" s="94">
        <f>I155</f>
        <v>0</v>
      </c>
    </row>
    <row r="155" spans="1:9" ht="33" customHeight="1" hidden="1">
      <c r="A155" s="17" t="s">
        <v>189</v>
      </c>
      <c r="B155" s="22" t="s">
        <v>178</v>
      </c>
      <c r="C155" s="37" t="s">
        <v>148</v>
      </c>
      <c r="D155" s="37" t="s">
        <v>168</v>
      </c>
      <c r="E155" s="37" t="s">
        <v>781</v>
      </c>
      <c r="F155" s="37" t="s">
        <v>157</v>
      </c>
      <c r="G155" s="85">
        <f t="shared" si="12"/>
        <v>0</v>
      </c>
      <c r="H155" s="85"/>
      <c r="I155" s="85">
        <f>I156</f>
        <v>0</v>
      </c>
    </row>
    <row r="156" spans="1:9" ht="41.25" customHeight="1" hidden="1">
      <c r="A156" s="46" t="s">
        <v>190</v>
      </c>
      <c r="B156" s="22" t="s">
        <v>178</v>
      </c>
      <c r="C156" s="37" t="s">
        <v>148</v>
      </c>
      <c r="D156" s="37" t="s">
        <v>168</v>
      </c>
      <c r="E156" s="37" t="s">
        <v>781</v>
      </c>
      <c r="F156" s="37" t="s">
        <v>191</v>
      </c>
      <c r="G156" s="85">
        <f t="shared" si="12"/>
        <v>0</v>
      </c>
      <c r="H156" s="85"/>
      <c r="I156" s="85">
        <v>0</v>
      </c>
    </row>
    <row r="157" spans="1:9" ht="42" customHeight="1" hidden="1">
      <c r="A157" s="79" t="s">
        <v>379</v>
      </c>
      <c r="B157" s="173">
        <v>951</v>
      </c>
      <c r="C157" s="80" t="s">
        <v>155</v>
      </c>
      <c r="D157" s="80" t="s">
        <v>149</v>
      </c>
      <c r="E157" s="80" t="s">
        <v>322</v>
      </c>
      <c r="F157" s="80" t="s">
        <v>414</v>
      </c>
      <c r="G157" s="123">
        <f t="shared" si="12"/>
        <v>0</v>
      </c>
      <c r="H157" s="93">
        <f aca="true" t="shared" si="13" ref="H157:I160">H158</f>
        <v>0</v>
      </c>
      <c r="I157" s="93">
        <f t="shared" si="13"/>
        <v>0</v>
      </c>
    </row>
    <row r="158" spans="1:9" ht="43.5" customHeight="1" hidden="1">
      <c r="A158" s="17" t="s">
        <v>380</v>
      </c>
      <c r="B158" s="77">
        <v>951</v>
      </c>
      <c r="C158" s="37" t="s">
        <v>155</v>
      </c>
      <c r="D158" s="37" t="s">
        <v>381</v>
      </c>
      <c r="E158" s="37" t="s">
        <v>322</v>
      </c>
      <c r="F158" s="37" t="s">
        <v>414</v>
      </c>
      <c r="G158" s="85">
        <f t="shared" si="12"/>
        <v>0</v>
      </c>
      <c r="H158" s="110">
        <f>H159</f>
        <v>0</v>
      </c>
      <c r="I158" s="110">
        <f t="shared" si="13"/>
        <v>0</v>
      </c>
    </row>
    <row r="159" spans="1:9" ht="58.5" customHeight="1" hidden="1">
      <c r="A159" s="17" t="s">
        <v>796</v>
      </c>
      <c r="B159" s="77">
        <v>951</v>
      </c>
      <c r="C159" s="37" t="s">
        <v>155</v>
      </c>
      <c r="D159" s="37" t="s">
        <v>381</v>
      </c>
      <c r="E159" s="37" t="s">
        <v>797</v>
      </c>
      <c r="F159" s="37" t="s">
        <v>414</v>
      </c>
      <c r="G159" s="85">
        <f t="shared" si="12"/>
        <v>0</v>
      </c>
      <c r="H159" s="110">
        <f>H160</f>
        <v>0</v>
      </c>
      <c r="I159" s="110">
        <f t="shared" si="13"/>
        <v>0</v>
      </c>
    </row>
    <row r="160" spans="1:9" ht="34.5" customHeight="1" hidden="1">
      <c r="A160" s="17" t="s">
        <v>189</v>
      </c>
      <c r="B160" s="77">
        <v>951</v>
      </c>
      <c r="C160" s="37" t="s">
        <v>155</v>
      </c>
      <c r="D160" s="37" t="s">
        <v>381</v>
      </c>
      <c r="E160" s="37" t="s">
        <v>797</v>
      </c>
      <c r="F160" s="37" t="s">
        <v>157</v>
      </c>
      <c r="G160" s="85">
        <f t="shared" si="12"/>
        <v>0</v>
      </c>
      <c r="H160" s="110">
        <f>H161</f>
        <v>0</v>
      </c>
      <c r="I160" s="110">
        <f t="shared" si="13"/>
        <v>0</v>
      </c>
    </row>
    <row r="161" spans="1:9" ht="43.5" customHeight="1" hidden="1">
      <c r="A161" s="46" t="s">
        <v>190</v>
      </c>
      <c r="B161" s="77">
        <v>951</v>
      </c>
      <c r="C161" s="37" t="s">
        <v>155</v>
      </c>
      <c r="D161" s="37" t="s">
        <v>381</v>
      </c>
      <c r="E161" s="37" t="s">
        <v>797</v>
      </c>
      <c r="F161" s="37" t="s">
        <v>191</v>
      </c>
      <c r="G161" s="85">
        <f t="shared" si="12"/>
        <v>0</v>
      </c>
      <c r="H161" s="110">
        <v>0</v>
      </c>
      <c r="I161" s="110"/>
    </row>
    <row r="162" spans="1:9" ht="13.5">
      <c r="A162" s="105" t="s">
        <v>383</v>
      </c>
      <c r="B162" s="173">
        <v>951</v>
      </c>
      <c r="C162" s="80" t="s">
        <v>159</v>
      </c>
      <c r="D162" s="80" t="s">
        <v>149</v>
      </c>
      <c r="E162" s="80" t="s">
        <v>322</v>
      </c>
      <c r="F162" s="80" t="s">
        <v>414</v>
      </c>
      <c r="G162" s="123">
        <f>I162+H162</f>
        <v>29636.240299999998</v>
      </c>
      <c r="H162" s="93">
        <f>H167+H180+H201+H163</f>
        <v>26366.94229</v>
      </c>
      <c r="I162" s="93">
        <f>I167+I180+I201+I163+I206</f>
        <v>3269.29801</v>
      </c>
    </row>
    <row r="163" spans="1:9" ht="13.5">
      <c r="A163" s="17" t="s">
        <v>243</v>
      </c>
      <c r="B163" s="22" t="s">
        <v>178</v>
      </c>
      <c r="C163" s="37" t="s">
        <v>159</v>
      </c>
      <c r="D163" s="37" t="s">
        <v>393</v>
      </c>
      <c r="E163" s="37" t="s">
        <v>322</v>
      </c>
      <c r="F163" s="37" t="s">
        <v>414</v>
      </c>
      <c r="G163" s="85">
        <f t="shared" si="11"/>
        <v>265.91093</v>
      </c>
      <c r="H163" s="85">
        <f>H164</f>
        <v>0</v>
      </c>
      <c r="I163" s="85">
        <f>I164</f>
        <v>265.91093</v>
      </c>
    </row>
    <row r="164" spans="1:9" ht="82.5">
      <c r="A164" s="17" t="s">
        <v>726</v>
      </c>
      <c r="B164" s="22" t="s">
        <v>178</v>
      </c>
      <c r="C164" s="37" t="s">
        <v>159</v>
      </c>
      <c r="D164" s="37" t="s">
        <v>393</v>
      </c>
      <c r="E164" s="37" t="s">
        <v>42</v>
      </c>
      <c r="F164" s="37" t="s">
        <v>414</v>
      </c>
      <c r="G164" s="85">
        <f t="shared" si="11"/>
        <v>265.91093</v>
      </c>
      <c r="H164" s="85"/>
      <c r="I164" s="85">
        <f>I165</f>
        <v>265.91093</v>
      </c>
    </row>
    <row r="165" spans="1:9" ht="30" customHeight="1">
      <c r="A165" s="17" t="s">
        <v>189</v>
      </c>
      <c r="B165" s="22" t="s">
        <v>178</v>
      </c>
      <c r="C165" s="37" t="s">
        <v>159</v>
      </c>
      <c r="D165" s="37" t="s">
        <v>393</v>
      </c>
      <c r="E165" s="37" t="s">
        <v>42</v>
      </c>
      <c r="F165" s="37" t="s">
        <v>157</v>
      </c>
      <c r="G165" s="85">
        <f t="shared" si="11"/>
        <v>265.91093</v>
      </c>
      <c r="H165" s="85"/>
      <c r="I165" s="85">
        <f>I166</f>
        <v>265.91093</v>
      </c>
    </row>
    <row r="166" spans="1:9" ht="45" customHeight="1">
      <c r="A166" s="46" t="s">
        <v>190</v>
      </c>
      <c r="B166" s="22" t="s">
        <v>178</v>
      </c>
      <c r="C166" s="37" t="s">
        <v>159</v>
      </c>
      <c r="D166" s="37" t="s">
        <v>393</v>
      </c>
      <c r="E166" s="37" t="s">
        <v>42</v>
      </c>
      <c r="F166" s="37" t="s">
        <v>191</v>
      </c>
      <c r="G166" s="85">
        <f t="shared" si="11"/>
        <v>265.91093</v>
      </c>
      <c r="H166" s="85"/>
      <c r="I166" s="85">
        <v>265.91093</v>
      </c>
    </row>
    <row r="167" spans="1:9" ht="13.5">
      <c r="A167" s="17" t="s">
        <v>421</v>
      </c>
      <c r="B167" s="22">
        <v>951</v>
      </c>
      <c r="C167" s="37" t="s">
        <v>159</v>
      </c>
      <c r="D167" s="37" t="s">
        <v>384</v>
      </c>
      <c r="E167" s="37" t="s">
        <v>322</v>
      </c>
      <c r="F167" s="37" t="s">
        <v>414</v>
      </c>
      <c r="G167" s="85">
        <f t="shared" si="11"/>
        <v>2303.38708</v>
      </c>
      <c r="H167" s="85">
        <f>H168</f>
        <v>2300</v>
      </c>
      <c r="I167" s="85">
        <f>I169+I177</f>
        <v>3.38708</v>
      </c>
    </row>
    <row r="168" spans="1:9" ht="87.75" customHeight="1">
      <c r="A168" s="55" t="s">
        <v>495</v>
      </c>
      <c r="B168" s="74" t="s">
        <v>178</v>
      </c>
      <c r="C168" s="59" t="s">
        <v>159</v>
      </c>
      <c r="D168" s="59" t="s">
        <v>384</v>
      </c>
      <c r="E168" s="59" t="s">
        <v>322</v>
      </c>
      <c r="F168" s="59" t="s">
        <v>414</v>
      </c>
      <c r="G168" s="94">
        <f t="shared" si="11"/>
        <v>2300</v>
      </c>
      <c r="H168" s="94">
        <f>H169+H173</f>
        <v>2300</v>
      </c>
      <c r="I168" s="94"/>
    </row>
    <row r="169" spans="1:9" ht="13.5">
      <c r="A169" s="17" t="s">
        <v>422</v>
      </c>
      <c r="B169" s="22">
        <v>951</v>
      </c>
      <c r="C169" s="37" t="s">
        <v>159</v>
      </c>
      <c r="D169" s="37" t="s">
        <v>384</v>
      </c>
      <c r="E169" s="37" t="s">
        <v>496</v>
      </c>
      <c r="F169" s="37" t="s">
        <v>414</v>
      </c>
      <c r="G169" s="85">
        <f t="shared" si="11"/>
        <v>2300</v>
      </c>
      <c r="H169" s="85">
        <f>H170+H175</f>
        <v>2300</v>
      </c>
      <c r="I169" s="85">
        <f aca="true" t="shared" si="14" ref="H169:I171">I170</f>
        <v>0</v>
      </c>
    </row>
    <row r="170" spans="1:9" ht="30.75" customHeight="1">
      <c r="A170" s="17" t="s">
        <v>423</v>
      </c>
      <c r="B170" s="22">
        <v>951</v>
      </c>
      <c r="C170" s="37" t="s">
        <v>159</v>
      </c>
      <c r="D170" s="37" t="s">
        <v>384</v>
      </c>
      <c r="E170" s="37" t="s">
        <v>496</v>
      </c>
      <c r="F170" s="37" t="s">
        <v>414</v>
      </c>
      <c r="G170" s="85">
        <f t="shared" si="11"/>
        <v>2296.175</v>
      </c>
      <c r="H170" s="85">
        <f t="shared" si="14"/>
        <v>2296.175</v>
      </c>
      <c r="I170" s="85">
        <f t="shared" si="14"/>
        <v>0</v>
      </c>
    </row>
    <row r="171" spans="1:9" ht="13.5">
      <c r="A171" s="17" t="s">
        <v>194</v>
      </c>
      <c r="B171" s="22">
        <v>951</v>
      </c>
      <c r="C171" s="37" t="s">
        <v>159</v>
      </c>
      <c r="D171" s="37" t="s">
        <v>384</v>
      </c>
      <c r="E171" s="37" t="s">
        <v>496</v>
      </c>
      <c r="F171" s="37" t="s">
        <v>195</v>
      </c>
      <c r="G171" s="85">
        <f t="shared" si="11"/>
        <v>2296.175</v>
      </c>
      <c r="H171" s="85">
        <f t="shared" si="14"/>
        <v>2296.175</v>
      </c>
      <c r="I171" s="85">
        <f t="shared" si="14"/>
        <v>0</v>
      </c>
    </row>
    <row r="172" spans="1:9" ht="48.75" customHeight="1">
      <c r="A172" s="17" t="s">
        <v>721</v>
      </c>
      <c r="B172" s="22">
        <v>951</v>
      </c>
      <c r="C172" s="37" t="s">
        <v>159</v>
      </c>
      <c r="D172" s="37" t="s">
        <v>384</v>
      </c>
      <c r="E172" s="37" t="s">
        <v>496</v>
      </c>
      <c r="F172" s="37" t="s">
        <v>391</v>
      </c>
      <c r="G172" s="85">
        <f t="shared" si="11"/>
        <v>2296.175</v>
      </c>
      <c r="H172" s="85">
        <f>2300-3.825</f>
        <v>2296.175</v>
      </c>
      <c r="I172" s="85"/>
    </row>
    <row r="173" spans="1:9" ht="17.25" customHeight="1" hidden="1">
      <c r="A173" s="46" t="s">
        <v>200</v>
      </c>
      <c r="B173" s="22">
        <v>951</v>
      </c>
      <c r="C173" s="37" t="s">
        <v>159</v>
      </c>
      <c r="D173" s="37" t="s">
        <v>384</v>
      </c>
      <c r="E173" s="37" t="s">
        <v>687</v>
      </c>
      <c r="F173" s="37" t="s">
        <v>201</v>
      </c>
      <c r="G173" s="85">
        <f>H173+I173</f>
        <v>0</v>
      </c>
      <c r="H173" s="85">
        <f>H174</f>
        <v>0</v>
      </c>
      <c r="I173" s="85"/>
    </row>
    <row r="174" spans="1:9" ht="18.75" customHeight="1" hidden="1">
      <c r="A174" s="46" t="s">
        <v>304</v>
      </c>
      <c r="B174" s="22">
        <v>951</v>
      </c>
      <c r="C174" s="37" t="s">
        <v>159</v>
      </c>
      <c r="D174" s="37" t="s">
        <v>384</v>
      </c>
      <c r="E174" s="37" t="s">
        <v>687</v>
      </c>
      <c r="F174" s="37" t="s">
        <v>460</v>
      </c>
      <c r="G174" s="85">
        <f>H174+I174</f>
        <v>0</v>
      </c>
      <c r="H174" s="85">
        <v>0</v>
      </c>
      <c r="I174" s="85"/>
    </row>
    <row r="175" spans="1:9" ht="32.25" customHeight="1">
      <c r="A175" s="17" t="s">
        <v>189</v>
      </c>
      <c r="B175" s="22">
        <v>951</v>
      </c>
      <c r="C175" s="37" t="s">
        <v>159</v>
      </c>
      <c r="D175" s="37" t="s">
        <v>384</v>
      </c>
      <c r="E175" s="37" t="s">
        <v>496</v>
      </c>
      <c r="F175" s="37" t="s">
        <v>157</v>
      </c>
      <c r="G175" s="85">
        <f>H175</f>
        <v>3.825</v>
      </c>
      <c r="H175" s="85">
        <f>H176</f>
        <v>3.825</v>
      </c>
      <c r="I175" s="85"/>
    </row>
    <row r="176" spans="1:9" ht="42.75" customHeight="1">
      <c r="A176" s="46" t="s">
        <v>190</v>
      </c>
      <c r="B176" s="22">
        <v>951</v>
      </c>
      <c r="C176" s="37" t="s">
        <v>159</v>
      </c>
      <c r="D176" s="37" t="s">
        <v>384</v>
      </c>
      <c r="E176" s="37" t="s">
        <v>496</v>
      </c>
      <c r="F176" s="37" t="s">
        <v>191</v>
      </c>
      <c r="G176" s="85">
        <f>H176</f>
        <v>3.825</v>
      </c>
      <c r="H176" s="85">
        <v>3.825</v>
      </c>
      <c r="I176" s="85"/>
    </row>
    <row r="177" spans="1:9" ht="111.75" customHeight="1">
      <c r="A177" s="56" t="s">
        <v>571</v>
      </c>
      <c r="B177" s="74" t="s">
        <v>178</v>
      </c>
      <c r="C177" s="59" t="s">
        <v>159</v>
      </c>
      <c r="D177" s="59" t="s">
        <v>384</v>
      </c>
      <c r="E177" s="59" t="s">
        <v>322</v>
      </c>
      <c r="F177" s="59" t="s">
        <v>414</v>
      </c>
      <c r="G177" s="94">
        <f>H177+I177</f>
        <v>3.38708</v>
      </c>
      <c r="H177" s="94"/>
      <c r="I177" s="94">
        <f>I178</f>
        <v>3.38708</v>
      </c>
    </row>
    <row r="178" spans="1:9" ht="33" customHeight="1">
      <c r="A178" s="17" t="s">
        <v>189</v>
      </c>
      <c r="B178" s="22" t="s">
        <v>178</v>
      </c>
      <c r="C178" s="37" t="s">
        <v>159</v>
      </c>
      <c r="D178" s="37" t="s">
        <v>384</v>
      </c>
      <c r="E178" s="37" t="s">
        <v>572</v>
      </c>
      <c r="F178" s="37" t="s">
        <v>157</v>
      </c>
      <c r="G178" s="85">
        <f>H178+I178</f>
        <v>3.38708</v>
      </c>
      <c r="H178" s="85"/>
      <c r="I178" s="85">
        <f>I179</f>
        <v>3.38708</v>
      </c>
    </row>
    <row r="179" spans="1:9" ht="33" customHeight="1">
      <c r="A179" s="46" t="s">
        <v>190</v>
      </c>
      <c r="B179" s="22" t="s">
        <v>178</v>
      </c>
      <c r="C179" s="37" t="s">
        <v>159</v>
      </c>
      <c r="D179" s="37" t="s">
        <v>384</v>
      </c>
      <c r="E179" s="37" t="s">
        <v>572</v>
      </c>
      <c r="F179" s="37" t="s">
        <v>191</v>
      </c>
      <c r="G179" s="85">
        <f>H179+I179</f>
        <v>3.38708</v>
      </c>
      <c r="H179" s="85"/>
      <c r="I179" s="85">
        <v>3.38708</v>
      </c>
    </row>
    <row r="180" spans="1:9" ht="17.25" customHeight="1">
      <c r="A180" s="55" t="s">
        <v>385</v>
      </c>
      <c r="B180" s="74">
        <v>951</v>
      </c>
      <c r="C180" s="59" t="s">
        <v>159</v>
      </c>
      <c r="D180" s="59" t="s">
        <v>381</v>
      </c>
      <c r="E180" s="59" t="s">
        <v>322</v>
      </c>
      <c r="F180" s="59" t="s">
        <v>414</v>
      </c>
      <c r="G180" s="94">
        <f t="shared" si="11"/>
        <v>27066.94229</v>
      </c>
      <c r="H180" s="94">
        <f>H181+H194</f>
        <v>24066.94229</v>
      </c>
      <c r="I180" s="94">
        <f>I181</f>
        <v>3000</v>
      </c>
    </row>
    <row r="181" spans="1:9" ht="87" customHeight="1">
      <c r="A181" s="55" t="s">
        <v>495</v>
      </c>
      <c r="B181" s="74" t="s">
        <v>178</v>
      </c>
      <c r="C181" s="59" t="s">
        <v>159</v>
      </c>
      <c r="D181" s="59" t="s">
        <v>381</v>
      </c>
      <c r="E181" s="59" t="s">
        <v>322</v>
      </c>
      <c r="F181" s="59" t="s">
        <v>414</v>
      </c>
      <c r="G181" s="94">
        <f t="shared" si="11"/>
        <v>26946.48429</v>
      </c>
      <c r="H181" s="94">
        <f>H182+H185+H189</f>
        <v>23946.48429</v>
      </c>
      <c r="I181" s="94">
        <f>I182+I189</f>
        <v>3000</v>
      </c>
    </row>
    <row r="182" spans="1:9" ht="33" customHeight="1">
      <c r="A182" s="17" t="s">
        <v>386</v>
      </c>
      <c r="B182" s="22">
        <v>951</v>
      </c>
      <c r="C182" s="37" t="s">
        <v>159</v>
      </c>
      <c r="D182" s="37" t="s">
        <v>381</v>
      </c>
      <c r="E182" s="37" t="s">
        <v>498</v>
      </c>
      <c r="F182" s="37" t="s">
        <v>414</v>
      </c>
      <c r="G182" s="85">
        <f t="shared" si="11"/>
        <v>14490.181260000001</v>
      </c>
      <c r="H182" s="85">
        <f>H183</f>
        <v>14490.181260000001</v>
      </c>
      <c r="I182" s="85">
        <f>I183</f>
        <v>0</v>
      </c>
    </row>
    <row r="183" spans="1:9" ht="33" customHeight="1">
      <c r="A183" s="17" t="s">
        <v>189</v>
      </c>
      <c r="B183" s="22">
        <v>951</v>
      </c>
      <c r="C183" s="37" t="s">
        <v>159</v>
      </c>
      <c r="D183" s="37" t="s">
        <v>381</v>
      </c>
      <c r="E183" s="37" t="s">
        <v>498</v>
      </c>
      <c r="F183" s="37" t="s">
        <v>157</v>
      </c>
      <c r="G183" s="85">
        <f t="shared" si="11"/>
        <v>14490.181260000001</v>
      </c>
      <c r="H183" s="85">
        <f>H184</f>
        <v>14490.181260000001</v>
      </c>
      <c r="I183" s="85">
        <f>I184</f>
        <v>0</v>
      </c>
    </row>
    <row r="184" spans="1:9" ht="41.25" customHeight="1">
      <c r="A184" s="46" t="s">
        <v>190</v>
      </c>
      <c r="B184" s="22">
        <v>951</v>
      </c>
      <c r="C184" s="37" t="s">
        <v>159</v>
      </c>
      <c r="D184" s="37" t="s">
        <v>381</v>
      </c>
      <c r="E184" s="37" t="s">
        <v>498</v>
      </c>
      <c r="F184" s="37" t="s">
        <v>191</v>
      </c>
      <c r="G184" s="85">
        <f t="shared" si="11"/>
        <v>14490.181260000001</v>
      </c>
      <c r="H184" s="85">
        <f>5217-30.30303+9986.48429+161.18502-282-562.18502</f>
        <v>14490.181260000001</v>
      </c>
      <c r="I184" s="85"/>
    </row>
    <row r="185" spans="1:9" ht="13.5">
      <c r="A185" s="46" t="s">
        <v>200</v>
      </c>
      <c r="B185" s="22">
        <v>951</v>
      </c>
      <c r="C185" s="37" t="s">
        <v>159</v>
      </c>
      <c r="D185" s="37" t="s">
        <v>381</v>
      </c>
      <c r="E185" s="37" t="s">
        <v>497</v>
      </c>
      <c r="F185" s="37" t="s">
        <v>201</v>
      </c>
      <c r="G185" s="85">
        <f t="shared" si="11"/>
        <v>9426</v>
      </c>
      <c r="H185" s="85">
        <f>H186+H187+H188</f>
        <v>9426</v>
      </c>
      <c r="I185" s="85"/>
    </row>
    <row r="186" spans="1:9" ht="13.5">
      <c r="A186" s="46" t="s">
        <v>304</v>
      </c>
      <c r="B186" s="22">
        <v>951</v>
      </c>
      <c r="C186" s="37" t="s">
        <v>159</v>
      </c>
      <c r="D186" s="37" t="s">
        <v>381</v>
      </c>
      <c r="E186" s="37" t="s">
        <v>497</v>
      </c>
      <c r="F186" s="37" t="s">
        <v>460</v>
      </c>
      <c r="G186" s="85">
        <f t="shared" si="11"/>
        <v>9426</v>
      </c>
      <c r="H186" s="85">
        <f>9542-161.18502-517+562.18502</f>
        <v>9426</v>
      </c>
      <c r="I186" s="85"/>
    </row>
    <row r="187" spans="1:9" ht="82.5" hidden="1">
      <c r="A187" s="46" t="s">
        <v>517</v>
      </c>
      <c r="B187" s="22">
        <v>952</v>
      </c>
      <c r="C187" s="37" t="s">
        <v>159</v>
      </c>
      <c r="D187" s="37" t="s">
        <v>381</v>
      </c>
      <c r="E187" s="37" t="s">
        <v>518</v>
      </c>
      <c r="F187" s="37" t="s">
        <v>460</v>
      </c>
      <c r="G187" s="85">
        <f>H187</f>
        <v>0</v>
      </c>
      <c r="H187" s="85"/>
      <c r="I187" s="85"/>
    </row>
    <row r="188" spans="1:9" ht="82.5" hidden="1">
      <c r="A188" s="46" t="s">
        <v>521</v>
      </c>
      <c r="B188" s="22">
        <v>953</v>
      </c>
      <c r="C188" s="37" t="s">
        <v>159</v>
      </c>
      <c r="D188" s="37" t="s">
        <v>381</v>
      </c>
      <c r="E188" s="37" t="s">
        <v>518</v>
      </c>
      <c r="F188" s="37" t="s">
        <v>460</v>
      </c>
      <c r="G188" s="85">
        <f>H188</f>
        <v>0</v>
      </c>
      <c r="H188" s="85"/>
      <c r="I188" s="85"/>
    </row>
    <row r="189" spans="1:9" ht="29.25" customHeight="1">
      <c r="A189" s="56" t="s">
        <v>734</v>
      </c>
      <c r="B189" s="74">
        <v>951</v>
      </c>
      <c r="C189" s="59" t="s">
        <v>159</v>
      </c>
      <c r="D189" s="59" t="s">
        <v>381</v>
      </c>
      <c r="E189" s="59" t="s">
        <v>475</v>
      </c>
      <c r="F189" s="59" t="s">
        <v>414</v>
      </c>
      <c r="G189" s="94">
        <f>H189+I189</f>
        <v>3030.30303</v>
      </c>
      <c r="H189" s="94">
        <f>H191+H193</f>
        <v>30.30303</v>
      </c>
      <c r="I189" s="94">
        <f>I191+I193</f>
        <v>3000</v>
      </c>
    </row>
    <row r="190" spans="1:9" ht="29.25" customHeight="1">
      <c r="A190" s="17" t="s">
        <v>189</v>
      </c>
      <c r="B190" s="22">
        <v>951</v>
      </c>
      <c r="C190" s="37" t="s">
        <v>159</v>
      </c>
      <c r="D190" s="37" t="s">
        <v>381</v>
      </c>
      <c r="E190" s="37" t="s">
        <v>728</v>
      </c>
      <c r="F190" s="37" t="s">
        <v>157</v>
      </c>
      <c r="G190" s="85">
        <f>I190</f>
        <v>3000</v>
      </c>
      <c r="H190" s="85"/>
      <c r="I190" s="85">
        <f>I191</f>
        <v>3000</v>
      </c>
    </row>
    <row r="191" spans="1:9" ht="41.25">
      <c r="A191" s="46" t="s">
        <v>190</v>
      </c>
      <c r="B191" s="22">
        <v>951</v>
      </c>
      <c r="C191" s="37" t="s">
        <v>159</v>
      </c>
      <c r="D191" s="37" t="s">
        <v>381</v>
      </c>
      <c r="E191" s="37" t="s">
        <v>728</v>
      </c>
      <c r="F191" s="37" t="s">
        <v>191</v>
      </c>
      <c r="G191" s="85">
        <f>H191+I191</f>
        <v>3000</v>
      </c>
      <c r="H191" s="85"/>
      <c r="I191" s="85">
        <v>3000</v>
      </c>
    </row>
    <row r="192" spans="1:9" ht="27">
      <c r="A192" s="17" t="s">
        <v>189</v>
      </c>
      <c r="B192" s="22">
        <v>951</v>
      </c>
      <c r="C192" s="37" t="s">
        <v>159</v>
      </c>
      <c r="D192" s="37" t="s">
        <v>381</v>
      </c>
      <c r="E192" s="37" t="s">
        <v>753</v>
      </c>
      <c r="F192" s="37" t="s">
        <v>157</v>
      </c>
      <c r="G192" s="85">
        <f>H192</f>
        <v>30.30303</v>
      </c>
      <c r="H192" s="85">
        <f>H193</f>
        <v>30.30303</v>
      </c>
      <c r="I192" s="85"/>
    </row>
    <row r="193" spans="1:9" ht="41.25">
      <c r="A193" s="46" t="s">
        <v>190</v>
      </c>
      <c r="B193" s="22">
        <v>951</v>
      </c>
      <c r="C193" s="37" t="s">
        <v>159</v>
      </c>
      <c r="D193" s="37" t="s">
        <v>381</v>
      </c>
      <c r="E193" s="37" t="s">
        <v>753</v>
      </c>
      <c r="F193" s="37" t="s">
        <v>191</v>
      </c>
      <c r="G193" s="85">
        <f>H193</f>
        <v>30.30303</v>
      </c>
      <c r="H193" s="85">
        <v>30.30303</v>
      </c>
      <c r="I193" s="140"/>
    </row>
    <row r="194" spans="1:9" ht="30.75" customHeight="1">
      <c r="A194" s="56" t="s">
        <v>151</v>
      </c>
      <c r="B194" s="74" t="s">
        <v>178</v>
      </c>
      <c r="C194" s="59" t="s">
        <v>159</v>
      </c>
      <c r="D194" s="59" t="s">
        <v>381</v>
      </c>
      <c r="E194" s="59" t="s">
        <v>10</v>
      </c>
      <c r="F194" s="59" t="s">
        <v>414</v>
      </c>
      <c r="G194" s="94">
        <f t="shared" si="11"/>
        <v>120.458</v>
      </c>
      <c r="H194" s="94">
        <f>H195</f>
        <v>120.458</v>
      </c>
      <c r="I194" s="94"/>
    </row>
    <row r="195" spans="1:9" ht="31.5" customHeight="1">
      <c r="A195" s="46" t="s">
        <v>152</v>
      </c>
      <c r="B195" s="22" t="s">
        <v>178</v>
      </c>
      <c r="C195" s="37" t="s">
        <v>159</v>
      </c>
      <c r="D195" s="37" t="s">
        <v>381</v>
      </c>
      <c r="E195" s="37" t="s">
        <v>11</v>
      </c>
      <c r="F195" s="37" t="s">
        <v>414</v>
      </c>
      <c r="G195" s="85">
        <f t="shared" si="11"/>
        <v>120.458</v>
      </c>
      <c r="H195" s="85">
        <f>H196</f>
        <v>120.458</v>
      </c>
      <c r="I195" s="85"/>
    </row>
    <row r="196" spans="1:9" ht="19.5" customHeight="1">
      <c r="A196" s="17" t="s">
        <v>573</v>
      </c>
      <c r="B196" s="22" t="s">
        <v>178</v>
      </c>
      <c r="C196" s="37" t="s">
        <v>159</v>
      </c>
      <c r="D196" s="37" t="s">
        <v>381</v>
      </c>
      <c r="E196" s="22" t="s">
        <v>574</v>
      </c>
      <c r="F196" s="37" t="s">
        <v>414</v>
      </c>
      <c r="G196" s="85">
        <f t="shared" si="11"/>
        <v>120.458</v>
      </c>
      <c r="H196" s="85">
        <f>H197+H199</f>
        <v>120.458</v>
      </c>
      <c r="I196" s="85"/>
    </row>
    <row r="197" spans="1:9" ht="30.75" customHeight="1" hidden="1">
      <c r="A197" s="17" t="s">
        <v>189</v>
      </c>
      <c r="B197" s="22" t="s">
        <v>178</v>
      </c>
      <c r="C197" s="37" t="s">
        <v>159</v>
      </c>
      <c r="D197" s="37" t="s">
        <v>381</v>
      </c>
      <c r="E197" s="22" t="s">
        <v>574</v>
      </c>
      <c r="F197" s="37" t="s">
        <v>157</v>
      </c>
      <c r="G197" s="85">
        <f t="shared" si="11"/>
        <v>0</v>
      </c>
      <c r="H197" s="85">
        <f>H198</f>
        <v>0</v>
      </c>
      <c r="I197" s="85"/>
    </row>
    <row r="198" spans="1:9" ht="45" customHeight="1" hidden="1">
      <c r="A198" s="46" t="s">
        <v>190</v>
      </c>
      <c r="B198" s="22" t="s">
        <v>178</v>
      </c>
      <c r="C198" s="37" t="s">
        <v>159</v>
      </c>
      <c r="D198" s="37" t="s">
        <v>381</v>
      </c>
      <c r="E198" s="22" t="s">
        <v>574</v>
      </c>
      <c r="F198" s="37" t="s">
        <v>191</v>
      </c>
      <c r="G198" s="85">
        <f t="shared" si="11"/>
        <v>0</v>
      </c>
      <c r="H198" s="85">
        <v>0</v>
      </c>
      <c r="I198" s="85"/>
    </row>
    <row r="199" spans="1:9" ht="18" customHeight="1">
      <c r="A199" s="17" t="s">
        <v>194</v>
      </c>
      <c r="B199" s="22" t="s">
        <v>178</v>
      </c>
      <c r="C199" s="37" t="s">
        <v>159</v>
      </c>
      <c r="D199" s="37" t="s">
        <v>381</v>
      </c>
      <c r="E199" s="22" t="s">
        <v>574</v>
      </c>
      <c r="F199" s="37" t="s">
        <v>195</v>
      </c>
      <c r="G199" s="85">
        <f t="shared" si="11"/>
        <v>120.458</v>
      </c>
      <c r="H199" s="85">
        <f>H200</f>
        <v>120.458</v>
      </c>
      <c r="I199" s="85"/>
    </row>
    <row r="200" spans="1:9" ht="15" customHeight="1">
      <c r="A200" s="38" t="s">
        <v>192</v>
      </c>
      <c r="B200" s="22" t="s">
        <v>178</v>
      </c>
      <c r="C200" s="37" t="s">
        <v>159</v>
      </c>
      <c r="D200" s="37" t="s">
        <v>381</v>
      </c>
      <c r="E200" s="22" t="s">
        <v>574</v>
      </c>
      <c r="F200" s="37" t="s">
        <v>193</v>
      </c>
      <c r="G200" s="85">
        <f t="shared" si="11"/>
        <v>120.458</v>
      </c>
      <c r="H200" s="85">
        <f>80.3+40.158</f>
        <v>120.458</v>
      </c>
      <c r="I200" s="85"/>
    </row>
    <row r="201" spans="1:9" ht="27" hidden="1">
      <c r="A201" s="17" t="s">
        <v>364</v>
      </c>
      <c r="B201" s="77">
        <v>951</v>
      </c>
      <c r="C201" s="37" t="s">
        <v>159</v>
      </c>
      <c r="D201" s="37" t="s">
        <v>387</v>
      </c>
      <c r="E201" s="37" t="s">
        <v>322</v>
      </c>
      <c r="F201" s="37" t="s">
        <v>414</v>
      </c>
      <c r="G201" s="85">
        <f t="shared" si="11"/>
        <v>0</v>
      </c>
      <c r="H201" s="110">
        <f>H202</f>
        <v>0</v>
      </c>
      <c r="I201" s="110">
        <f>I202</f>
        <v>0</v>
      </c>
    </row>
    <row r="202" spans="1:9" ht="43.5" customHeight="1" hidden="1">
      <c r="A202" s="55" t="s">
        <v>472</v>
      </c>
      <c r="B202" s="77">
        <v>951</v>
      </c>
      <c r="C202" s="37" t="s">
        <v>159</v>
      </c>
      <c r="D202" s="37" t="s">
        <v>387</v>
      </c>
      <c r="E202" s="59" t="s">
        <v>473</v>
      </c>
      <c r="F202" s="37" t="s">
        <v>414</v>
      </c>
      <c r="G202" s="85">
        <f t="shared" si="11"/>
        <v>0</v>
      </c>
      <c r="H202" s="110">
        <f aca="true" t="shared" si="15" ref="H202:I204">H203</f>
        <v>0</v>
      </c>
      <c r="I202" s="110">
        <f t="shared" si="15"/>
        <v>0</v>
      </c>
    </row>
    <row r="203" spans="1:9" ht="99" customHeight="1" hidden="1">
      <c r="A203" s="17" t="s">
        <v>389</v>
      </c>
      <c r="B203" s="77">
        <v>951</v>
      </c>
      <c r="C203" s="37" t="s">
        <v>159</v>
      </c>
      <c r="D203" s="37" t="s">
        <v>387</v>
      </c>
      <c r="E203" s="37" t="s">
        <v>474</v>
      </c>
      <c r="F203" s="37" t="s">
        <v>414</v>
      </c>
      <c r="G203" s="85">
        <f t="shared" si="11"/>
        <v>0</v>
      </c>
      <c r="H203" s="110">
        <f t="shared" si="15"/>
        <v>0</v>
      </c>
      <c r="I203" s="110">
        <f t="shared" si="15"/>
        <v>0</v>
      </c>
    </row>
    <row r="204" spans="1:9" ht="16.5" customHeight="1" hidden="1">
      <c r="A204" s="17" t="s">
        <v>194</v>
      </c>
      <c r="B204" s="77">
        <v>951</v>
      </c>
      <c r="C204" s="37" t="s">
        <v>159</v>
      </c>
      <c r="D204" s="37" t="s">
        <v>387</v>
      </c>
      <c r="E204" s="37" t="s">
        <v>474</v>
      </c>
      <c r="F204" s="37" t="s">
        <v>195</v>
      </c>
      <c r="G204" s="85">
        <f t="shared" si="11"/>
        <v>0</v>
      </c>
      <c r="H204" s="110">
        <f t="shared" si="15"/>
        <v>0</v>
      </c>
      <c r="I204" s="110">
        <f t="shared" si="15"/>
        <v>0</v>
      </c>
    </row>
    <row r="205" spans="1:9" ht="48" customHeight="1" hidden="1">
      <c r="A205" s="17" t="s">
        <v>721</v>
      </c>
      <c r="B205" s="77">
        <v>951</v>
      </c>
      <c r="C205" s="37" t="s">
        <v>159</v>
      </c>
      <c r="D205" s="37" t="s">
        <v>387</v>
      </c>
      <c r="E205" s="37" t="s">
        <v>474</v>
      </c>
      <c r="F205" s="37" t="s">
        <v>391</v>
      </c>
      <c r="G205" s="85">
        <f t="shared" si="11"/>
        <v>0</v>
      </c>
      <c r="H205" s="110">
        <f>100-100</f>
        <v>0</v>
      </c>
      <c r="I205" s="110"/>
    </row>
    <row r="206" spans="1:9" ht="13.5" hidden="1">
      <c r="A206" s="55"/>
      <c r="B206" s="74"/>
      <c r="C206" s="59"/>
      <c r="D206" s="59"/>
      <c r="E206" s="59"/>
      <c r="F206" s="59"/>
      <c r="G206" s="94"/>
      <c r="H206" s="94"/>
      <c r="I206" s="94"/>
    </row>
    <row r="207" spans="1:9" ht="13.5" hidden="1">
      <c r="A207" s="46"/>
      <c r="B207" s="77"/>
      <c r="C207" s="37"/>
      <c r="D207" s="37"/>
      <c r="E207" s="37"/>
      <c r="F207" s="37"/>
      <c r="G207" s="85"/>
      <c r="H207" s="110"/>
      <c r="I207" s="110"/>
    </row>
    <row r="208" spans="1:9" ht="13.5" hidden="1">
      <c r="A208" s="46"/>
      <c r="B208" s="77"/>
      <c r="C208" s="37"/>
      <c r="D208" s="37"/>
      <c r="E208" s="37"/>
      <c r="F208" s="37"/>
      <c r="G208" s="85"/>
      <c r="H208" s="110"/>
      <c r="I208" s="110"/>
    </row>
    <row r="209" spans="1:9" ht="29.25" customHeight="1">
      <c r="A209" s="105" t="s">
        <v>392</v>
      </c>
      <c r="B209" s="173">
        <v>951</v>
      </c>
      <c r="C209" s="80" t="s">
        <v>393</v>
      </c>
      <c r="D209" s="80" t="s">
        <v>149</v>
      </c>
      <c r="E209" s="80" t="s">
        <v>322</v>
      </c>
      <c r="F209" s="80" t="s">
        <v>414</v>
      </c>
      <c r="G209" s="123">
        <f>H209+I209</f>
        <v>10265.15826</v>
      </c>
      <c r="H209" s="93">
        <f>H210+H244+H234</f>
        <v>7489.531999999999</v>
      </c>
      <c r="I209" s="93">
        <f>I210+I244+I234</f>
        <v>2775.62626</v>
      </c>
    </row>
    <row r="210" spans="1:9" ht="13.5">
      <c r="A210" s="55" t="s">
        <v>365</v>
      </c>
      <c r="B210" s="74">
        <v>951</v>
      </c>
      <c r="C210" s="59" t="s">
        <v>393</v>
      </c>
      <c r="D210" s="59" t="s">
        <v>150</v>
      </c>
      <c r="E210" s="59" t="s">
        <v>322</v>
      </c>
      <c r="F210" s="59" t="s">
        <v>414</v>
      </c>
      <c r="G210" s="94">
        <f t="shared" si="11"/>
        <v>4160.33102</v>
      </c>
      <c r="H210" s="94">
        <f>H211+H215+H218+H221+H226+H231</f>
        <v>1386.3999999999999</v>
      </c>
      <c r="I210" s="94">
        <f>I211+I221</f>
        <v>2773.93102</v>
      </c>
    </row>
    <row r="211" spans="1:9" ht="17.25" customHeight="1">
      <c r="A211" s="17" t="s">
        <v>366</v>
      </c>
      <c r="B211" s="22">
        <v>951</v>
      </c>
      <c r="C211" s="37" t="s">
        <v>393</v>
      </c>
      <c r="D211" s="37" t="s">
        <v>150</v>
      </c>
      <c r="E211" s="37" t="s">
        <v>26</v>
      </c>
      <c r="F211" s="37" t="s">
        <v>414</v>
      </c>
      <c r="G211" s="85">
        <f>H211+I211</f>
        <v>503.9</v>
      </c>
      <c r="H211" s="85">
        <f>H212</f>
        <v>503.9</v>
      </c>
      <c r="I211" s="85">
        <f aca="true" t="shared" si="16" ref="H211:I213">I212</f>
        <v>0</v>
      </c>
    </row>
    <row r="212" spans="1:9" ht="27">
      <c r="A212" s="17" t="s">
        <v>575</v>
      </c>
      <c r="B212" s="22">
        <v>951</v>
      </c>
      <c r="C212" s="37" t="s">
        <v>393</v>
      </c>
      <c r="D212" s="37" t="s">
        <v>150</v>
      </c>
      <c r="E212" s="37" t="s">
        <v>26</v>
      </c>
      <c r="F212" s="37" t="s">
        <v>414</v>
      </c>
      <c r="G212" s="85">
        <f t="shared" si="11"/>
        <v>503.9</v>
      </c>
      <c r="H212" s="85">
        <f t="shared" si="16"/>
        <v>503.9</v>
      </c>
      <c r="I212" s="85">
        <f t="shared" si="16"/>
        <v>0</v>
      </c>
    </row>
    <row r="213" spans="1:9" ht="30" customHeight="1">
      <c r="A213" s="17" t="s">
        <v>189</v>
      </c>
      <c r="B213" s="22">
        <v>951</v>
      </c>
      <c r="C213" s="37" t="s">
        <v>393</v>
      </c>
      <c r="D213" s="37" t="s">
        <v>150</v>
      </c>
      <c r="E213" s="37" t="s">
        <v>26</v>
      </c>
      <c r="F213" s="37" t="s">
        <v>157</v>
      </c>
      <c r="G213" s="85">
        <f t="shared" si="11"/>
        <v>503.9</v>
      </c>
      <c r="H213" s="85">
        <f t="shared" si="16"/>
        <v>503.9</v>
      </c>
      <c r="I213" s="85">
        <f t="shared" si="16"/>
        <v>0</v>
      </c>
    </row>
    <row r="214" spans="1:9" ht="43.5" customHeight="1">
      <c r="A214" s="46" t="s">
        <v>190</v>
      </c>
      <c r="B214" s="22">
        <v>951</v>
      </c>
      <c r="C214" s="37" t="s">
        <v>393</v>
      </c>
      <c r="D214" s="37" t="s">
        <v>150</v>
      </c>
      <c r="E214" s="37" t="s">
        <v>26</v>
      </c>
      <c r="F214" s="37" t="s">
        <v>191</v>
      </c>
      <c r="G214" s="85">
        <f t="shared" si="11"/>
        <v>503.9</v>
      </c>
      <c r="H214" s="85">
        <v>503.9</v>
      </c>
      <c r="I214" s="85"/>
    </row>
    <row r="215" spans="1:9" ht="27">
      <c r="A215" s="17" t="s">
        <v>494</v>
      </c>
      <c r="B215" s="22">
        <v>951</v>
      </c>
      <c r="C215" s="37" t="s">
        <v>393</v>
      </c>
      <c r="D215" s="37" t="s">
        <v>150</v>
      </c>
      <c r="E215" s="37" t="s">
        <v>94</v>
      </c>
      <c r="F215" s="37" t="s">
        <v>414</v>
      </c>
      <c r="G215" s="85">
        <f t="shared" si="11"/>
        <v>670.9</v>
      </c>
      <c r="H215" s="85">
        <f>H216</f>
        <v>670.9</v>
      </c>
      <c r="I215" s="85"/>
    </row>
    <row r="216" spans="1:9" ht="27">
      <c r="A216" s="17" t="s">
        <v>189</v>
      </c>
      <c r="B216" s="22">
        <v>951</v>
      </c>
      <c r="C216" s="37" t="s">
        <v>393</v>
      </c>
      <c r="D216" s="37" t="s">
        <v>150</v>
      </c>
      <c r="E216" s="37" t="s">
        <v>94</v>
      </c>
      <c r="F216" s="37" t="s">
        <v>157</v>
      </c>
      <c r="G216" s="85">
        <f t="shared" si="11"/>
        <v>670.9</v>
      </c>
      <c r="H216" s="85">
        <f>H217</f>
        <v>670.9</v>
      </c>
      <c r="I216" s="85"/>
    </row>
    <row r="217" spans="1:9" ht="41.25">
      <c r="A217" s="46" t="s">
        <v>190</v>
      </c>
      <c r="B217" s="22">
        <v>951</v>
      </c>
      <c r="C217" s="37" t="s">
        <v>393</v>
      </c>
      <c r="D217" s="37" t="s">
        <v>150</v>
      </c>
      <c r="E217" s="37" t="s">
        <v>94</v>
      </c>
      <c r="F217" s="37" t="s">
        <v>191</v>
      </c>
      <c r="G217" s="85">
        <f t="shared" si="11"/>
        <v>670.9</v>
      </c>
      <c r="H217" s="85">
        <f>655.9+15</f>
        <v>670.9</v>
      </c>
      <c r="I217" s="85"/>
    </row>
    <row r="218" spans="1:9" ht="41.25" hidden="1">
      <c r="A218" s="56" t="s">
        <v>764</v>
      </c>
      <c r="B218" s="74">
        <v>951</v>
      </c>
      <c r="C218" s="59" t="s">
        <v>393</v>
      </c>
      <c r="D218" s="59" t="s">
        <v>150</v>
      </c>
      <c r="E218" s="59" t="s">
        <v>765</v>
      </c>
      <c r="F218" s="59" t="s">
        <v>414</v>
      </c>
      <c r="G218" s="94">
        <f t="shared" si="11"/>
        <v>0</v>
      </c>
      <c r="H218" s="94">
        <f>H219</f>
        <v>0</v>
      </c>
      <c r="I218" s="85"/>
    </row>
    <row r="219" spans="1:9" ht="27" hidden="1">
      <c r="A219" s="17" t="s">
        <v>189</v>
      </c>
      <c r="B219" s="22">
        <v>951</v>
      </c>
      <c r="C219" s="37" t="s">
        <v>393</v>
      </c>
      <c r="D219" s="37" t="s">
        <v>150</v>
      </c>
      <c r="E219" s="37" t="s">
        <v>765</v>
      </c>
      <c r="F219" s="37" t="s">
        <v>157</v>
      </c>
      <c r="G219" s="85">
        <f t="shared" si="11"/>
        <v>0</v>
      </c>
      <c r="H219" s="85">
        <f>H220</f>
        <v>0</v>
      </c>
      <c r="I219" s="85"/>
    </row>
    <row r="220" spans="1:9" ht="41.25" hidden="1">
      <c r="A220" s="46" t="s">
        <v>190</v>
      </c>
      <c r="B220" s="22">
        <v>951</v>
      </c>
      <c r="C220" s="37" t="s">
        <v>393</v>
      </c>
      <c r="D220" s="37" t="s">
        <v>150</v>
      </c>
      <c r="E220" s="37" t="s">
        <v>765</v>
      </c>
      <c r="F220" s="37" t="s">
        <v>191</v>
      </c>
      <c r="G220" s="85">
        <f t="shared" si="11"/>
        <v>0</v>
      </c>
      <c r="H220" s="85">
        <v>0</v>
      </c>
      <c r="I220" s="85"/>
    </row>
    <row r="221" spans="1:9" ht="69.75" customHeight="1">
      <c r="A221" s="55" t="s">
        <v>576</v>
      </c>
      <c r="B221" s="74" t="s">
        <v>178</v>
      </c>
      <c r="C221" s="59" t="s">
        <v>393</v>
      </c>
      <c r="D221" s="59" t="s">
        <v>150</v>
      </c>
      <c r="E221" s="59" t="s">
        <v>577</v>
      </c>
      <c r="F221" s="59" t="s">
        <v>414</v>
      </c>
      <c r="G221" s="94">
        <f t="shared" si="11"/>
        <v>2803.93102</v>
      </c>
      <c r="H221" s="94">
        <f>H222</f>
        <v>30</v>
      </c>
      <c r="I221" s="94">
        <f>I222</f>
        <v>2773.93102</v>
      </c>
    </row>
    <row r="222" spans="1:9" ht="54.75">
      <c r="A222" s="46" t="s">
        <v>578</v>
      </c>
      <c r="B222" s="22" t="s">
        <v>178</v>
      </c>
      <c r="C222" s="37" t="s">
        <v>393</v>
      </c>
      <c r="D222" s="37" t="s">
        <v>150</v>
      </c>
      <c r="E222" s="37" t="s">
        <v>577</v>
      </c>
      <c r="F222" s="37" t="s">
        <v>414</v>
      </c>
      <c r="G222" s="85">
        <f t="shared" si="11"/>
        <v>2803.93102</v>
      </c>
      <c r="H222" s="85">
        <f>H223</f>
        <v>30</v>
      </c>
      <c r="I222" s="85">
        <f>I223</f>
        <v>2773.93102</v>
      </c>
    </row>
    <row r="223" spans="1:9" ht="13.5">
      <c r="A223" s="17" t="s">
        <v>194</v>
      </c>
      <c r="B223" s="22" t="s">
        <v>178</v>
      </c>
      <c r="C223" s="37" t="s">
        <v>393</v>
      </c>
      <c r="D223" s="37" t="s">
        <v>150</v>
      </c>
      <c r="E223" s="37" t="s">
        <v>577</v>
      </c>
      <c r="F223" s="37" t="s">
        <v>195</v>
      </c>
      <c r="G223" s="85">
        <f t="shared" si="11"/>
        <v>2803.93102</v>
      </c>
      <c r="H223" s="85">
        <f>H225</f>
        <v>30</v>
      </c>
      <c r="I223" s="85">
        <f>I224</f>
        <v>2773.93102</v>
      </c>
    </row>
    <row r="224" spans="1:9" ht="41.25" customHeight="1">
      <c r="A224" s="17" t="s">
        <v>724</v>
      </c>
      <c r="B224" s="22" t="s">
        <v>178</v>
      </c>
      <c r="C224" s="37" t="s">
        <v>393</v>
      </c>
      <c r="D224" s="37" t="s">
        <v>150</v>
      </c>
      <c r="E224" s="37" t="s">
        <v>579</v>
      </c>
      <c r="F224" s="37" t="s">
        <v>391</v>
      </c>
      <c r="G224" s="85">
        <f t="shared" si="11"/>
        <v>2773.93102</v>
      </c>
      <c r="H224" s="85"/>
      <c r="I224" s="85">
        <f>1382.48629+1391.44473</f>
        <v>2773.93102</v>
      </c>
    </row>
    <row r="225" spans="1:9" ht="43.5" customHeight="1">
      <c r="A225" s="17" t="s">
        <v>725</v>
      </c>
      <c r="B225" s="22" t="s">
        <v>178</v>
      </c>
      <c r="C225" s="37" t="s">
        <v>393</v>
      </c>
      <c r="D225" s="37" t="s">
        <v>150</v>
      </c>
      <c r="E225" s="37" t="s">
        <v>752</v>
      </c>
      <c r="F225" s="37" t="s">
        <v>391</v>
      </c>
      <c r="G225" s="85">
        <f t="shared" si="11"/>
        <v>30</v>
      </c>
      <c r="H225" s="85">
        <f>20+10</f>
        <v>30</v>
      </c>
      <c r="I225" s="85"/>
    </row>
    <row r="226" spans="1:9" ht="33" customHeight="1">
      <c r="A226" s="56" t="s">
        <v>151</v>
      </c>
      <c r="B226" s="22" t="s">
        <v>178</v>
      </c>
      <c r="C226" s="37" t="s">
        <v>393</v>
      </c>
      <c r="D226" s="37" t="s">
        <v>150</v>
      </c>
      <c r="E226" s="59" t="s">
        <v>10</v>
      </c>
      <c r="F226" s="59" t="s">
        <v>414</v>
      </c>
      <c r="G226" s="94">
        <f t="shared" si="11"/>
        <v>100</v>
      </c>
      <c r="H226" s="94">
        <f>H227</f>
        <v>100</v>
      </c>
      <c r="I226" s="85"/>
    </row>
    <row r="227" spans="1:9" ht="30.75" customHeight="1">
      <c r="A227" s="46" t="s">
        <v>152</v>
      </c>
      <c r="B227" s="22" t="s">
        <v>178</v>
      </c>
      <c r="C227" s="37" t="s">
        <v>393</v>
      </c>
      <c r="D227" s="37" t="s">
        <v>150</v>
      </c>
      <c r="E227" s="37" t="s">
        <v>11</v>
      </c>
      <c r="F227" s="37" t="s">
        <v>414</v>
      </c>
      <c r="G227" s="85">
        <f t="shared" si="11"/>
        <v>100</v>
      </c>
      <c r="H227" s="85">
        <f>H228</f>
        <v>100</v>
      </c>
      <c r="I227" s="85"/>
    </row>
    <row r="228" spans="1:9" ht="100.5">
      <c r="A228" s="75" t="s">
        <v>580</v>
      </c>
      <c r="B228" s="87" t="s">
        <v>178</v>
      </c>
      <c r="C228" s="73" t="s">
        <v>393</v>
      </c>
      <c r="D228" s="73" t="s">
        <v>150</v>
      </c>
      <c r="E228" s="73" t="s">
        <v>581</v>
      </c>
      <c r="F228" s="73" t="s">
        <v>414</v>
      </c>
      <c r="G228" s="88">
        <f t="shared" si="11"/>
        <v>100</v>
      </c>
      <c r="H228" s="88">
        <f>H229</f>
        <v>100</v>
      </c>
      <c r="I228" s="88"/>
    </row>
    <row r="229" spans="1:9" ht="27">
      <c r="A229" s="17" t="s">
        <v>189</v>
      </c>
      <c r="B229" s="22" t="s">
        <v>178</v>
      </c>
      <c r="C229" s="37" t="s">
        <v>393</v>
      </c>
      <c r="D229" s="37" t="s">
        <v>150</v>
      </c>
      <c r="E229" s="37" t="s">
        <v>581</v>
      </c>
      <c r="F229" s="37" t="s">
        <v>157</v>
      </c>
      <c r="G229" s="85">
        <f t="shared" si="11"/>
        <v>100</v>
      </c>
      <c r="H229" s="85">
        <f>H230</f>
        <v>100</v>
      </c>
      <c r="I229" s="85"/>
    </row>
    <row r="230" spans="1:9" ht="45" customHeight="1">
      <c r="A230" s="46" t="s">
        <v>190</v>
      </c>
      <c r="B230" s="22" t="s">
        <v>178</v>
      </c>
      <c r="C230" s="37" t="s">
        <v>393</v>
      </c>
      <c r="D230" s="37" t="s">
        <v>150</v>
      </c>
      <c r="E230" s="37" t="s">
        <v>581</v>
      </c>
      <c r="F230" s="37" t="s">
        <v>191</v>
      </c>
      <c r="G230" s="85">
        <f t="shared" si="11"/>
        <v>100</v>
      </c>
      <c r="H230" s="85">
        <f>250-150</f>
        <v>100</v>
      </c>
      <c r="I230" s="85"/>
    </row>
    <row r="231" spans="1:9" ht="57.75" customHeight="1">
      <c r="A231" s="56" t="s">
        <v>533</v>
      </c>
      <c r="B231" s="74" t="s">
        <v>178</v>
      </c>
      <c r="C231" s="59" t="s">
        <v>393</v>
      </c>
      <c r="D231" s="59" t="s">
        <v>150</v>
      </c>
      <c r="E231" s="59" t="s">
        <v>322</v>
      </c>
      <c r="F231" s="59" t="s">
        <v>414</v>
      </c>
      <c r="G231" s="94">
        <f t="shared" si="11"/>
        <v>81.6</v>
      </c>
      <c r="H231" s="94">
        <f>H232</f>
        <v>81.6</v>
      </c>
      <c r="I231" s="94"/>
    </row>
    <row r="232" spans="1:9" ht="27.75" customHeight="1">
      <c r="A232" s="76" t="s">
        <v>189</v>
      </c>
      <c r="B232" s="77" t="s">
        <v>178</v>
      </c>
      <c r="C232" s="26" t="s">
        <v>393</v>
      </c>
      <c r="D232" s="26" t="s">
        <v>150</v>
      </c>
      <c r="E232" s="37" t="s">
        <v>674</v>
      </c>
      <c r="F232" s="37" t="s">
        <v>157</v>
      </c>
      <c r="G232" s="110">
        <f t="shared" si="11"/>
        <v>81.6</v>
      </c>
      <c r="H232" s="110">
        <f>H233</f>
        <v>81.6</v>
      </c>
      <c r="I232" s="85"/>
    </row>
    <row r="233" spans="1:9" ht="42" customHeight="1">
      <c r="A233" s="78" t="s">
        <v>190</v>
      </c>
      <c r="B233" s="77" t="s">
        <v>178</v>
      </c>
      <c r="C233" s="26" t="s">
        <v>393</v>
      </c>
      <c r="D233" s="26" t="s">
        <v>150</v>
      </c>
      <c r="E233" s="37" t="s">
        <v>674</v>
      </c>
      <c r="F233" s="37" t="s">
        <v>191</v>
      </c>
      <c r="G233" s="110">
        <f t="shared" si="11"/>
        <v>81.6</v>
      </c>
      <c r="H233" s="110">
        <f>31.6+50</f>
        <v>81.6</v>
      </c>
      <c r="I233" s="85"/>
    </row>
    <row r="234" spans="1:9" ht="13.5">
      <c r="A234" s="56" t="s">
        <v>398</v>
      </c>
      <c r="B234" s="74">
        <v>951</v>
      </c>
      <c r="C234" s="59" t="s">
        <v>393</v>
      </c>
      <c r="D234" s="59" t="s">
        <v>155</v>
      </c>
      <c r="E234" s="59" t="s">
        <v>322</v>
      </c>
      <c r="F234" s="59" t="s">
        <v>414</v>
      </c>
      <c r="G234" s="94">
        <f>H234+I234</f>
        <v>2357.002</v>
      </c>
      <c r="H234" s="94">
        <f>H235+H239</f>
        <v>2357.002</v>
      </c>
      <c r="I234" s="94">
        <f>I235+I239</f>
        <v>0</v>
      </c>
    </row>
    <row r="235" spans="1:9" ht="13.5">
      <c r="A235" s="46" t="s">
        <v>399</v>
      </c>
      <c r="B235" s="22">
        <v>951</v>
      </c>
      <c r="C235" s="37" t="s">
        <v>393</v>
      </c>
      <c r="D235" s="37" t="s">
        <v>155</v>
      </c>
      <c r="E235" s="37" t="s">
        <v>27</v>
      </c>
      <c r="F235" s="37" t="s">
        <v>414</v>
      </c>
      <c r="G235" s="85">
        <f>H235+I235</f>
        <v>75</v>
      </c>
      <c r="H235" s="85">
        <f>H236</f>
        <v>75</v>
      </c>
      <c r="I235" s="85">
        <f>I236</f>
        <v>0</v>
      </c>
    </row>
    <row r="236" spans="1:9" ht="27">
      <c r="A236" s="17" t="s">
        <v>189</v>
      </c>
      <c r="B236" s="22">
        <v>951</v>
      </c>
      <c r="C236" s="37" t="s">
        <v>393</v>
      </c>
      <c r="D236" s="37" t="s">
        <v>155</v>
      </c>
      <c r="E236" s="37" t="s">
        <v>27</v>
      </c>
      <c r="F236" s="37" t="s">
        <v>157</v>
      </c>
      <c r="G236" s="85">
        <f t="shared" si="11"/>
        <v>75</v>
      </c>
      <c r="H236" s="85">
        <f>H237</f>
        <v>75</v>
      </c>
      <c r="I236" s="85">
        <f>I237</f>
        <v>0</v>
      </c>
    </row>
    <row r="237" spans="1:9" ht="41.25">
      <c r="A237" s="46" t="s">
        <v>190</v>
      </c>
      <c r="B237" s="22">
        <v>951</v>
      </c>
      <c r="C237" s="37" t="s">
        <v>393</v>
      </c>
      <c r="D237" s="37" t="s">
        <v>155</v>
      </c>
      <c r="E237" s="37" t="s">
        <v>27</v>
      </c>
      <c r="F237" s="37" t="s">
        <v>191</v>
      </c>
      <c r="G237" s="85">
        <f t="shared" si="11"/>
        <v>75</v>
      </c>
      <c r="H237" s="85">
        <f>90-15</f>
        <v>75</v>
      </c>
      <c r="I237" s="85"/>
    </row>
    <row r="238" spans="1:9" ht="13.5" hidden="1">
      <c r="A238" s="46"/>
      <c r="B238" s="22"/>
      <c r="C238" s="37"/>
      <c r="D238" s="37"/>
      <c r="E238" s="37"/>
      <c r="F238" s="37"/>
      <c r="G238" s="85"/>
      <c r="H238" s="85"/>
      <c r="I238" s="85"/>
    </row>
    <row r="239" spans="1:9" ht="15.75" customHeight="1">
      <c r="A239" s="46" t="s">
        <v>400</v>
      </c>
      <c r="B239" s="22">
        <v>951</v>
      </c>
      <c r="C239" s="37" t="s">
        <v>393</v>
      </c>
      <c r="D239" s="37" t="s">
        <v>155</v>
      </c>
      <c r="E239" s="37" t="s">
        <v>28</v>
      </c>
      <c r="F239" s="37" t="s">
        <v>414</v>
      </c>
      <c r="G239" s="85">
        <f t="shared" si="11"/>
        <v>2282.002</v>
      </c>
      <c r="H239" s="85">
        <f>H240+H242</f>
        <v>2282.002</v>
      </c>
      <c r="I239" s="85">
        <f>I240</f>
        <v>0</v>
      </c>
    </row>
    <row r="240" spans="1:9" ht="27">
      <c r="A240" s="17" t="s">
        <v>189</v>
      </c>
      <c r="B240" s="22">
        <v>951</v>
      </c>
      <c r="C240" s="37" t="s">
        <v>393</v>
      </c>
      <c r="D240" s="37" t="s">
        <v>155</v>
      </c>
      <c r="E240" s="37" t="s">
        <v>28</v>
      </c>
      <c r="F240" s="37" t="s">
        <v>157</v>
      </c>
      <c r="G240" s="85">
        <f t="shared" si="11"/>
        <v>1985.404</v>
      </c>
      <c r="H240" s="85">
        <f>H241</f>
        <v>1985.404</v>
      </c>
      <c r="I240" s="85">
        <f>I241</f>
        <v>0</v>
      </c>
    </row>
    <row r="241" spans="1:9" ht="41.25">
      <c r="A241" s="46" t="s">
        <v>190</v>
      </c>
      <c r="B241" s="22">
        <v>951</v>
      </c>
      <c r="C241" s="37" t="s">
        <v>393</v>
      </c>
      <c r="D241" s="37" t="s">
        <v>155</v>
      </c>
      <c r="E241" s="37" t="s">
        <v>28</v>
      </c>
      <c r="F241" s="37" t="s">
        <v>191</v>
      </c>
      <c r="G241" s="85">
        <f t="shared" si="11"/>
        <v>1985.404</v>
      </c>
      <c r="H241" s="85">
        <f>100+1950.4+0.004-65</f>
        <v>1985.404</v>
      </c>
      <c r="I241" s="85"/>
    </row>
    <row r="242" spans="1:9" ht="41.25">
      <c r="A242" s="46" t="s">
        <v>604</v>
      </c>
      <c r="B242" s="22" t="s">
        <v>178</v>
      </c>
      <c r="C242" s="37" t="s">
        <v>393</v>
      </c>
      <c r="D242" s="37" t="s">
        <v>155</v>
      </c>
      <c r="E242" s="37" t="s">
        <v>28</v>
      </c>
      <c r="F242" s="37" t="s">
        <v>605</v>
      </c>
      <c r="G242" s="85">
        <f>H242</f>
        <v>296.598</v>
      </c>
      <c r="H242" s="85">
        <f>H243</f>
        <v>296.598</v>
      </c>
      <c r="I242" s="85"/>
    </row>
    <row r="243" spans="1:9" ht="13.5">
      <c r="A243" s="46" t="s">
        <v>606</v>
      </c>
      <c r="B243" s="22" t="s">
        <v>178</v>
      </c>
      <c r="C243" s="37" t="s">
        <v>393</v>
      </c>
      <c r="D243" s="37" t="s">
        <v>155</v>
      </c>
      <c r="E243" s="37" t="s">
        <v>28</v>
      </c>
      <c r="F243" s="37" t="s">
        <v>607</v>
      </c>
      <c r="G243" s="85">
        <f>H243</f>
        <v>296.598</v>
      </c>
      <c r="H243" s="85">
        <v>296.598</v>
      </c>
      <c r="I243" s="85"/>
    </row>
    <row r="244" spans="1:9" ht="27">
      <c r="A244" s="17" t="s">
        <v>369</v>
      </c>
      <c r="B244" s="22">
        <v>951</v>
      </c>
      <c r="C244" s="37" t="s">
        <v>393</v>
      </c>
      <c r="D244" s="37" t="s">
        <v>393</v>
      </c>
      <c r="E244" s="37" t="s">
        <v>322</v>
      </c>
      <c r="F244" s="37" t="s">
        <v>414</v>
      </c>
      <c r="G244" s="85">
        <f t="shared" si="11"/>
        <v>3747.82524</v>
      </c>
      <c r="H244" s="85">
        <f aca="true" t="shared" si="17" ref="H244:I246">H245</f>
        <v>3746.13</v>
      </c>
      <c r="I244" s="85">
        <f>I245+I252</f>
        <v>1.69524</v>
      </c>
    </row>
    <row r="245" spans="1:9" ht="27">
      <c r="A245" s="17" t="s">
        <v>151</v>
      </c>
      <c r="B245" s="22">
        <v>951</v>
      </c>
      <c r="C245" s="37" t="s">
        <v>393</v>
      </c>
      <c r="D245" s="37" t="s">
        <v>393</v>
      </c>
      <c r="E245" s="37" t="s">
        <v>10</v>
      </c>
      <c r="F245" s="37" t="s">
        <v>414</v>
      </c>
      <c r="G245" s="85">
        <f t="shared" si="11"/>
        <v>3746.13</v>
      </c>
      <c r="H245" s="85">
        <f t="shared" si="17"/>
        <v>3746.13</v>
      </c>
      <c r="I245" s="85">
        <f t="shared" si="17"/>
        <v>0</v>
      </c>
    </row>
    <row r="246" spans="1:9" ht="41.25">
      <c r="A246" s="17" t="s">
        <v>152</v>
      </c>
      <c r="B246" s="22">
        <v>951</v>
      </c>
      <c r="C246" s="37" t="s">
        <v>393</v>
      </c>
      <c r="D246" s="37" t="s">
        <v>393</v>
      </c>
      <c r="E246" s="37" t="s">
        <v>11</v>
      </c>
      <c r="F246" s="37" t="s">
        <v>414</v>
      </c>
      <c r="G246" s="85">
        <f t="shared" si="11"/>
        <v>3746.13</v>
      </c>
      <c r="H246" s="85">
        <f t="shared" si="17"/>
        <v>3746.13</v>
      </c>
      <c r="I246" s="85">
        <f t="shared" si="17"/>
        <v>0</v>
      </c>
    </row>
    <row r="247" spans="1:11" ht="41.25">
      <c r="A247" s="17" t="s">
        <v>394</v>
      </c>
      <c r="B247" s="22">
        <v>951</v>
      </c>
      <c r="C247" s="37" t="s">
        <v>393</v>
      </c>
      <c r="D247" s="37" t="s">
        <v>393</v>
      </c>
      <c r="E247" s="37" t="s">
        <v>14</v>
      </c>
      <c r="F247" s="37" t="s">
        <v>414</v>
      </c>
      <c r="G247" s="85">
        <f t="shared" si="11"/>
        <v>3746.13</v>
      </c>
      <c r="H247" s="85">
        <f>H248+H250</f>
        <v>3746.13</v>
      </c>
      <c r="I247" s="85">
        <f>I248+I250</f>
        <v>0</v>
      </c>
      <c r="J247" s="289"/>
      <c r="K247" s="84"/>
    </row>
    <row r="248" spans="1:9" ht="82.5">
      <c r="A248" s="17" t="s">
        <v>186</v>
      </c>
      <c r="B248" s="22">
        <v>951</v>
      </c>
      <c r="C248" s="37" t="s">
        <v>393</v>
      </c>
      <c r="D248" s="37" t="s">
        <v>393</v>
      </c>
      <c r="E248" s="37" t="s">
        <v>14</v>
      </c>
      <c r="F248" s="37" t="s">
        <v>153</v>
      </c>
      <c r="G248" s="85">
        <f t="shared" si="11"/>
        <v>3582.5</v>
      </c>
      <c r="H248" s="85">
        <f>H249</f>
        <v>3582.5</v>
      </c>
      <c r="I248" s="85">
        <f>I249</f>
        <v>0</v>
      </c>
    </row>
    <row r="249" spans="1:9" ht="27">
      <c r="A249" s="46" t="s">
        <v>188</v>
      </c>
      <c r="B249" s="22">
        <v>951</v>
      </c>
      <c r="C249" s="37" t="s">
        <v>393</v>
      </c>
      <c r="D249" s="37" t="s">
        <v>393</v>
      </c>
      <c r="E249" s="37" t="s">
        <v>14</v>
      </c>
      <c r="F249" s="37" t="s">
        <v>187</v>
      </c>
      <c r="G249" s="85">
        <f t="shared" si="11"/>
        <v>3582.5</v>
      </c>
      <c r="H249" s="85">
        <f>2717+45+820.5</f>
        <v>3582.5</v>
      </c>
      <c r="I249" s="85"/>
    </row>
    <row r="250" spans="1:9" ht="27">
      <c r="A250" s="17" t="s">
        <v>189</v>
      </c>
      <c r="B250" s="22">
        <v>951</v>
      </c>
      <c r="C250" s="37" t="s">
        <v>393</v>
      </c>
      <c r="D250" s="37" t="s">
        <v>393</v>
      </c>
      <c r="E250" s="37" t="s">
        <v>14</v>
      </c>
      <c r="F250" s="37" t="s">
        <v>157</v>
      </c>
      <c r="G250" s="85">
        <f t="shared" si="11"/>
        <v>163.63</v>
      </c>
      <c r="H250" s="85">
        <f>H251</f>
        <v>163.63</v>
      </c>
      <c r="I250" s="85">
        <f>I251</f>
        <v>0</v>
      </c>
    </row>
    <row r="251" spans="1:9" ht="41.25">
      <c r="A251" s="46" t="s">
        <v>190</v>
      </c>
      <c r="B251" s="22">
        <v>951</v>
      </c>
      <c r="C251" s="37" t="s">
        <v>393</v>
      </c>
      <c r="D251" s="37" t="s">
        <v>393</v>
      </c>
      <c r="E251" s="37" t="s">
        <v>14</v>
      </c>
      <c r="F251" s="37" t="s">
        <v>191</v>
      </c>
      <c r="G251" s="85">
        <f t="shared" si="11"/>
        <v>163.63</v>
      </c>
      <c r="H251" s="85">
        <f>58.63+15+65+25</f>
        <v>163.63</v>
      </c>
      <c r="I251" s="85"/>
    </row>
    <row r="252" spans="1:9" ht="69">
      <c r="A252" s="46" t="s">
        <v>749</v>
      </c>
      <c r="B252" s="22" t="s">
        <v>178</v>
      </c>
      <c r="C252" s="37" t="s">
        <v>393</v>
      </c>
      <c r="D252" s="37" t="s">
        <v>393</v>
      </c>
      <c r="E252" s="37" t="s">
        <v>29</v>
      </c>
      <c r="F252" s="37" t="s">
        <v>414</v>
      </c>
      <c r="G252" s="85">
        <f t="shared" si="11"/>
        <v>1.69524</v>
      </c>
      <c r="H252" s="85"/>
      <c r="I252" s="85">
        <f>I253</f>
        <v>1.69524</v>
      </c>
    </row>
    <row r="253" spans="1:9" ht="83.25" customHeight="1">
      <c r="A253" s="46" t="s">
        <v>367</v>
      </c>
      <c r="B253" s="22" t="s">
        <v>178</v>
      </c>
      <c r="C253" s="37" t="s">
        <v>393</v>
      </c>
      <c r="D253" s="37" t="s">
        <v>393</v>
      </c>
      <c r="E253" s="37" t="s">
        <v>29</v>
      </c>
      <c r="F253" s="37" t="s">
        <v>153</v>
      </c>
      <c r="G253" s="85">
        <f t="shared" si="11"/>
        <v>1.69524</v>
      </c>
      <c r="H253" s="85"/>
      <c r="I253" s="85">
        <f>I254</f>
        <v>1.69524</v>
      </c>
    </row>
    <row r="254" spans="1:9" ht="27">
      <c r="A254" s="46" t="s">
        <v>188</v>
      </c>
      <c r="B254" s="22" t="s">
        <v>178</v>
      </c>
      <c r="C254" s="37" t="s">
        <v>393</v>
      </c>
      <c r="D254" s="37" t="s">
        <v>393</v>
      </c>
      <c r="E254" s="37" t="s">
        <v>29</v>
      </c>
      <c r="F254" s="37" t="s">
        <v>187</v>
      </c>
      <c r="G254" s="85">
        <f t="shared" si="11"/>
        <v>1.69524</v>
      </c>
      <c r="H254" s="85"/>
      <c r="I254" s="85">
        <v>1.69524</v>
      </c>
    </row>
    <row r="255" spans="1:9" ht="27" hidden="1">
      <c r="A255" s="46" t="s">
        <v>189</v>
      </c>
      <c r="B255" s="22" t="s">
        <v>178</v>
      </c>
      <c r="C255" s="37" t="s">
        <v>393</v>
      </c>
      <c r="D255" s="37" t="s">
        <v>393</v>
      </c>
      <c r="E255" s="37" t="s">
        <v>29</v>
      </c>
      <c r="F255" s="37" t="s">
        <v>157</v>
      </c>
      <c r="G255" s="85">
        <f t="shared" si="11"/>
        <v>0</v>
      </c>
      <c r="H255" s="85"/>
      <c r="I255" s="85">
        <f>I256</f>
        <v>0</v>
      </c>
    </row>
    <row r="256" spans="1:9" ht="41.25" hidden="1">
      <c r="A256" s="46" t="s">
        <v>190</v>
      </c>
      <c r="B256" s="22" t="s">
        <v>178</v>
      </c>
      <c r="C256" s="37" t="s">
        <v>393</v>
      </c>
      <c r="D256" s="37" t="s">
        <v>393</v>
      </c>
      <c r="E256" s="37" t="s">
        <v>29</v>
      </c>
      <c r="F256" s="37" t="s">
        <v>191</v>
      </c>
      <c r="G256" s="85">
        <f t="shared" si="11"/>
        <v>0</v>
      </c>
      <c r="H256" s="85"/>
      <c r="I256" s="85"/>
    </row>
    <row r="257" spans="1:9" ht="13.5">
      <c r="A257" s="240" t="s">
        <v>370</v>
      </c>
      <c r="B257" s="173">
        <v>951</v>
      </c>
      <c r="C257" s="173" t="s">
        <v>396</v>
      </c>
      <c r="D257" s="173" t="s">
        <v>149</v>
      </c>
      <c r="E257" s="173" t="s">
        <v>322</v>
      </c>
      <c r="F257" s="173" t="s">
        <v>414</v>
      </c>
      <c r="G257" s="123">
        <f>I257+H257</f>
        <v>18394.103</v>
      </c>
      <c r="H257" s="93">
        <f>H269+H292+H296+H299</f>
        <v>16511.6</v>
      </c>
      <c r="I257" s="93">
        <f>I269+I292+I296+I299+I306</f>
        <v>1882.5029999999997</v>
      </c>
    </row>
    <row r="258" spans="1:9" ht="13.5" hidden="1">
      <c r="A258" s="101" t="s">
        <v>172</v>
      </c>
      <c r="B258" s="77">
        <v>951</v>
      </c>
      <c r="C258" s="26" t="s">
        <v>396</v>
      </c>
      <c r="D258" s="26" t="s">
        <v>150</v>
      </c>
      <c r="E258" s="77" t="s">
        <v>322</v>
      </c>
      <c r="F258" s="77" t="s">
        <v>414</v>
      </c>
      <c r="G258" s="110">
        <f>H258+I258</f>
        <v>0</v>
      </c>
      <c r="H258" s="110">
        <f>H259</f>
        <v>0</v>
      </c>
      <c r="I258" s="110">
        <f>I259</f>
        <v>0</v>
      </c>
    </row>
    <row r="259" spans="1:9" ht="27" hidden="1">
      <c r="A259" s="102" t="s">
        <v>291</v>
      </c>
      <c r="B259" s="77">
        <v>951</v>
      </c>
      <c r="C259" s="26" t="s">
        <v>396</v>
      </c>
      <c r="D259" s="26" t="s">
        <v>150</v>
      </c>
      <c r="E259" s="26" t="s">
        <v>57</v>
      </c>
      <c r="F259" s="26" t="s">
        <v>414</v>
      </c>
      <c r="G259" s="110">
        <f aca="true" t="shared" si="18" ref="G259:G284">H259+I259</f>
        <v>0</v>
      </c>
      <c r="H259" s="110">
        <f>H260+H263</f>
        <v>0</v>
      </c>
      <c r="I259" s="110">
        <f>I260+I263+I292</f>
        <v>0</v>
      </c>
    </row>
    <row r="260" spans="1:9" ht="27" hidden="1">
      <c r="A260" s="76" t="s">
        <v>215</v>
      </c>
      <c r="B260" s="77" t="s">
        <v>178</v>
      </c>
      <c r="C260" s="26" t="s">
        <v>396</v>
      </c>
      <c r="D260" s="26" t="s">
        <v>150</v>
      </c>
      <c r="E260" s="26" t="s">
        <v>58</v>
      </c>
      <c r="F260" s="26" t="s">
        <v>414</v>
      </c>
      <c r="G260" s="110">
        <f t="shared" si="18"/>
        <v>0</v>
      </c>
      <c r="H260" s="110">
        <f>H261</f>
        <v>0</v>
      </c>
      <c r="I260" s="110"/>
    </row>
    <row r="261" spans="1:9" ht="41.25" hidden="1">
      <c r="A261" s="76" t="s">
        <v>212</v>
      </c>
      <c r="B261" s="77" t="s">
        <v>178</v>
      </c>
      <c r="C261" s="26" t="s">
        <v>396</v>
      </c>
      <c r="D261" s="26" t="s">
        <v>150</v>
      </c>
      <c r="E261" s="26" t="s">
        <v>58</v>
      </c>
      <c r="F261" s="26" t="s">
        <v>213</v>
      </c>
      <c r="G261" s="110">
        <f t="shared" si="18"/>
        <v>0</v>
      </c>
      <c r="H261" s="110">
        <f>H262</f>
        <v>0</v>
      </c>
      <c r="I261" s="110"/>
    </row>
    <row r="262" spans="1:9" ht="13.5" hidden="1">
      <c r="A262" s="76" t="s">
        <v>214</v>
      </c>
      <c r="B262" s="77" t="s">
        <v>178</v>
      </c>
      <c r="C262" s="26" t="s">
        <v>396</v>
      </c>
      <c r="D262" s="26" t="s">
        <v>150</v>
      </c>
      <c r="E262" s="26" t="s">
        <v>61</v>
      </c>
      <c r="F262" s="26" t="s">
        <v>289</v>
      </c>
      <c r="G262" s="110">
        <f t="shared" si="18"/>
        <v>0</v>
      </c>
      <c r="H262" s="110"/>
      <c r="I262" s="110"/>
    </row>
    <row r="263" spans="1:9" ht="27" hidden="1">
      <c r="A263" s="76" t="s">
        <v>216</v>
      </c>
      <c r="B263" s="77" t="s">
        <v>178</v>
      </c>
      <c r="C263" s="26" t="s">
        <v>396</v>
      </c>
      <c r="D263" s="26" t="s">
        <v>150</v>
      </c>
      <c r="E263" s="26" t="s">
        <v>58</v>
      </c>
      <c r="F263" s="26" t="s">
        <v>414</v>
      </c>
      <c r="G263" s="110">
        <f t="shared" si="18"/>
        <v>0</v>
      </c>
      <c r="H263" s="110">
        <f>H264</f>
        <v>0</v>
      </c>
      <c r="I263" s="110"/>
    </row>
    <row r="264" spans="1:9" ht="41.25" hidden="1">
      <c r="A264" s="76" t="s">
        <v>212</v>
      </c>
      <c r="B264" s="77" t="s">
        <v>178</v>
      </c>
      <c r="C264" s="26" t="s">
        <v>396</v>
      </c>
      <c r="D264" s="26" t="s">
        <v>150</v>
      </c>
      <c r="E264" s="26" t="s">
        <v>58</v>
      </c>
      <c r="F264" s="26" t="s">
        <v>213</v>
      </c>
      <c r="G264" s="110">
        <f t="shared" si="18"/>
        <v>0</v>
      </c>
      <c r="H264" s="110">
        <f>H265</f>
        <v>0</v>
      </c>
      <c r="I264" s="110"/>
    </row>
    <row r="265" spans="1:9" ht="13.5" hidden="1">
      <c r="A265" s="76" t="s">
        <v>214</v>
      </c>
      <c r="B265" s="77">
        <v>951</v>
      </c>
      <c r="C265" s="26" t="s">
        <v>396</v>
      </c>
      <c r="D265" s="26" t="s">
        <v>150</v>
      </c>
      <c r="E265" s="26" t="s">
        <v>62</v>
      </c>
      <c r="F265" s="26" t="s">
        <v>289</v>
      </c>
      <c r="G265" s="110">
        <f t="shared" si="18"/>
        <v>0</v>
      </c>
      <c r="H265" s="110"/>
      <c r="I265" s="110"/>
    </row>
    <row r="266" spans="1:9" ht="41.25" hidden="1">
      <c r="A266" s="55" t="s">
        <v>491</v>
      </c>
      <c r="B266" s="77" t="s">
        <v>178</v>
      </c>
      <c r="C266" s="26" t="s">
        <v>396</v>
      </c>
      <c r="D266" s="26" t="s">
        <v>396</v>
      </c>
      <c r="E266" s="26" t="s">
        <v>475</v>
      </c>
      <c r="F266" s="26" t="s">
        <v>414</v>
      </c>
      <c r="G266" s="110">
        <f t="shared" si="18"/>
        <v>0</v>
      </c>
      <c r="H266" s="110">
        <f>H267</f>
        <v>0</v>
      </c>
      <c r="I266" s="110"/>
    </row>
    <row r="267" spans="1:9" ht="27" hidden="1">
      <c r="A267" s="17" t="s">
        <v>189</v>
      </c>
      <c r="B267" s="77" t="s">
        <v>178</v>
      </c>
      <c r="C267" s="26" t="s">
        <v>396</v>
      </c>
      <c r="D267" s="26" t="s">
        <v>396</v>
      </c>
      <c r="E267" s="26" t="s">
        <v>476</v>
      </c>
      <c r="F267" s="26" t="s">
        <v>157</v>
      </c>
      <c r="G267" s="110">
        <f t="shared" si="18"/>
        <v>0</v>
      </c>
      <c r="H267" s="110">
        <f>H268</f>
        <v>0</v>
      </c>
      <c r="I267" s="110"/>
    </row>
    <row r="268" spans="1:9" ht="41.25" hidden="1">
      <c r="A268" s="76" t="s">
        <v>190</v>
      </c>
      <c r="B268" s="77" t="s">
        <v>178</v>
      </c>
      <c r="C268" s="26" t="s">
        <v>396</v>
      </c>
      <c r="D268" s="26" t="s">
        <v>396</v>
      </c>
      <c r="E268" s="26" t="s">
        <v>476</v>
      </c>
      <c r="F268" s="26" t="s">
        <v>191</v>
      </c>
      <c r="G268" s="110">
        <f t="shared" si="18"/>
        <v>0</v>
      </c>
      <c r="H268" s="110">
        <v>0</v>
      </c>
      <c r="I268" s="110"/>
    </row>
    <row r="269" spans="1:9" ht="18.75" customHeight="1">
      <c r="A269" s="55" t="s">
        <v>591</v>
      </c>
      <c r="B269" s="74" t="s">
        <v>178</v>
      </c>
      <c r="C269" s="59" t="s">
        <v>396</v>
      </c>
      <c r="D269" s="59" t="s">
        <v>155</v>
      </c>
      <c r="E269" s="59" t="s">
        <v>322</v>
      </c>
      <c r="F269" s="59" t="s">
        <v>414</v>
      </c>
      <c r="G269" s="94">
        <f t="shared" si="18"/>
        <v>12942.399999999998</v>
      </c>
      <c r="H269" s="94">
        <f>H270+H281+H285</f>
        <v>12942.399999999998</v>
      </c>
      <c r="I269" s="94">
        <f>I270+I281+I285</f>
        <v>0</v>
      </c>
    </row>
    <row r="270" spans="1:9" ht="41.25">
      <c r="A270" s="71" t="s">
        <v>477</v>
      </c>
      <c r="B270" s="74" t="s">
        <v>178</v>
      </c>
      <c r="C270" s="59" t="s">
        <v>396</v>
      </c>
      <c r="D270" s="59" t="s">
        <v>155</v>
      </c>
      <c r="E270" s="59" t="s">
        <v>322</v>
      </c>
      <c r="F270" s="59" t="s">
        <v>414</v>
      </c>
      <c r="G270" s="94">
        <f t="shared" si="18"/>
        <v>12942.399999999998</v>
      </c>
      <c r="H270" s="94">
        <f>H271</f>
        <v>12942.399999999998</v>
      </c>
      <c r="I270" s="94"/>
    </row>
    <row r="271" spans="1:9" ht="31.5" customHeight="1">
      <c r="A271" s="102" t="s">
        <v>291</v>
      </c>
      <c r="B271" s="77" t="s">
        <v>178</v>
      </c>
      <c r="C271" s="26" t="s">
        <v>396</v>
      </c>
      <c r="D271" s="26" t="s">
        <v>155</v>
      </c>
      <c r="E271" s="26" t="s">
        <v>57</v>
      </c>
      <c r="F271" s="26" t="s">
        <v>414</v>
      </c>
      <c r="G271" s="85">
        <f t="shared" si="18"/>
        <v>12942.399999999998</v>
      </c>
      <c r="H271" s="110">
        <f>H272+H275+H278</f>
        <v>12942.399999999998</v>
      </c>
      <c r="I271" s="110"/>
    </row>
    <row r="272" spans="1:9" ht="27">
      <c r="A272" s="76" t="s">
        <v>905</v>
      </c>
      <c r="B272" s="77" t="s">
        <v>178</v>
      </c>
      <c r="C272" s="26" t="s">
        <v>396</v>
      </c>
      <c r="D272" s="26" t="s">
        <v>155</v>
      </c>
      <c r="E272" s="26" t="s">
        <v>906</v>
      </c>
      <c r="F272" s="26" t="s">
        <v>414</v>
      </c>
      <c r="G272" s="85">
        <f>H272</f>
        <v>1745</v>
      </c>
      <c r="H272" s="110">
        <f>H273</f>
        <v>1745</v>
      </c>
      <c r="I272" s="110"/>
    </row>
    <row r="273" spans="1:9" ht="41.25">
      <c r="A273" s="76" t="s">
        <v>212</v>
      </c>
      <c r="B273" s="77" t="s">
        <v>178</v>
      </c>
      <c r="C273" s="26" t="s">
        <v>396</v>
      </c>
      <c r="D273" s="26" t="s">
        <v>155</v>
      </c>
      <c r="E273" s="26" t="s">
        <v>906</v>
      </c>
      <c r="F273" s="26" t="s">
        <v>213</v>
      </c>
      <c r="G273" s="85">
        <f>H273</f>
        <v>1745</v>
      </c>
      <c r="H273" s="110">
        <f>H274</f>
        <v>1745</v>
      </c>
      <c r="I273" s="110"/>
    </row>
    <row r="274" spans="1:9" ht="13.5">
      <c r="A274" s="76" t="s">
        <v>214</v>
      </c>
      <c r="B274" s="77" t="s">
        <v>178</v>
      </c>
      <c r="C274" s="26" t="s">
        <v>396</v>
      </c>
      <c r="D274" s="26" t="s">
        <v>155</v>
      </c>
      <c r="E274" s="26" t="s">
        <v>906</v>
      </c>
      <c r="F274" s="26" t="s">
        <v>289</v>
      </c>
      <c r="G274" s="85">
        <f>H274</f>
        <v>1745</v>
      </c>
      <c r="H274" s="110">
        <f>800+945</f>
        <v>1745</v>
      </c>
      <c r="I274" s="110"/>
    </row>
    <row r="275" spans="1:9" ht="27">
      <c r="A275" s="76" t="s">
        <v>215</v>
      </c>
      <c r="B275" s="77" t="s">
        <v>178</v>
      </c>
      <c r="C275" s="26" t="s">
        <v>396</v>
      </c>
      <c r="D275" s="26" t="s">
        <v>155</v>
      </c>
      <c r="E275" s="26" t="s">
        <v>58</v>
      </c>
      <c r="F275" s="26" t="s">
        <v>414</v>
      </c>
      <c r="G275" s="85">
        <f t="shared" si="18"/>
        <v>7601.46</v>
      </c>
      <c r="H275" s="110">
        <f>H276</f>
        <v>7601.46</v>
      </c>
      <c r="I275" s="110"/>
    </row>
    <row r="276" spans="1:9" ht="41.25">
      <c r="A276" s="76" t="s">
        <v>212</v>
      </c>
      <c r="B276" s="77" t="s">
        <v>178</v>
      </c>
      <c r="C276" s="26" t="s">
        <v>396</v>
      </c>
      <c r="D276" s="26" t="s">
        <v>155</v>
      </c>
      <c r="E276" s="26" t="s">
        <v>58</v>
      </c>
      <c r="F276" s="26" t="s">
        <v>213</v>
      </c>
      <c r="G276" s="85">
        <f t="shared" si="18"/>
        <v>7601.46</v>
      </c>
      <c r="H276" s="110">
        <f>H277</f>
        <v>7601.46</v>
      </c>
      <c r="I276" s="110"/>
    </row>
    <row r="277" spans="1:9" ht="13.5">
      <c r="A277" s="76" t="s">
        <v>214</v>
      </c>
      <c r="B277" s="77" t="s">
        <v>178</v>
      </c>
      <c r="C277" s="26" t="s">
        <v>396</v>
      </c>
      <c r="D277" s="26" t="s">
        <v>155</v>
      </c>
      <c r="E277" s="26" t="s">
        <v>61</v>
      </c>
      <c r="F277" s="26" t="s">
        <v>289</v>
      </c>
      <c r="G277" s="85">
        <f t="shared" si="18"/>
        <v>7601.46</v>
      </c>
      <c r="H277" s="110">
        <f>4998.16+1893.3+180+530</f>
        <v>7601.46</v>
      </c>
      <c r="I277" s="110"/>
    </row>
    <row r="278" spans="1:9" ht="27">
      <c r="A278" s="76" t="s">
        <v>216</v>
      </c>
      <c r="B278" s="77" t="s">
        <v>178</v>
      </c>
      <c r="C278" s="26" t="s">
        <v>396</v>
      </c>
      <c r="D278" s="26" t="s">
        <v>155</v>
      </c>
      <c r="E278" s="26" t="s">
        <v>58</v>
      </c>
      <c r="F278" s="26" t="s">
        <v>414</v>
      </c>
      <c r="G278" s="85">
        <f t="shared" si="18"/>
        <v>3595.9399999999996</v>
      </c>
      <c r="H278" s="110">
        <f>H279</f>
        <v>3595.9399999999996</v>
      </c>
      <c r="I278" s="110"/>
    </row>
    <row r="279" spans="1:9" ht="41.25">
      <c r="A279" s="76" t="s">
        <v>212</v>
      </c>
      <c r="B279" s="77" t="s">
        <v>178</v>
      </c>
      <c r="C279" s="26" t="s">
        <v>396</v>
      </c>
      <c r="D279" s="26" t="s">
        <v>155</v>
      </c>
      <c r="E279" s="26" t="s">
        <v>58</v>
      </c>
      <c r="F279" s="26" t="s">
        <v>213</v>
      </c>
      <c r="G279" s="85">
        <f t="shared" si="18"/>
        <v>3595.9399999999996</v>
      </c>
      <c r="H279" s="110">
        <f>H280</f>
        <v>3595.9399999999996</v>
      </c>
      <c r="I279" s="110"/>
    </row>
    <row r="280" spans="1:9" ht="13.5">
      <c r="A280" s="76" t="s">
        <v>214</v>
      </c>
      <c r="B280" s="77" t="s">
        <v>178</v>
      </c>
      <c r="C280" s="26" t="s">
        <v>396</v>
      </c>
      <c r="D280" s="26" t="s">
        <v>155</v>
      </c>
      <c r="E280" s="26" t="s">
        <v>62</v>
      </c>
      <c r="F280" s="26" t="s">
        <v>289</v>
      </c>
      <c r="G280" s="85">
        <f t="shared" si="18"/>
        <v>3595.9399999999996</v>
      </c>
      <c r="H280" s="110">
        <f>2235.64+910.3+100+350</f>
        <v>3595.9399999999996</v>
      </c>
      <c r="I280" s="110"/>
    </row>
    <row r="281" spans="1:9" ht="14.25" hidden="1">
      <c r="A281" s="131" t="s">
        <v>582</v>
      </c>
      <c r="B281" s="77" t="s">
        <v>178</v>
      </c>
      <c r="C281" s="26" t="s">
        <v>396</v>
      </c>
      <c r="D281" s="26" t="s">
        <v>155</v>
      </c>
      <c r="E281" s="73" t="s">
        <v>322</v>
      </c>
      <c r="F281" s="73" t="s">
        <v>414</v>
      </c>
      <c r="G281" s="85">
        <f t="shared" si="18"/>
        <v>0</v>
      </c>
      <c r="H281" s="88">
        <f>H282</f>
        <v>0</v>
      </c>
      <c r="I281" s="88"/>
    </row>
    <row r="282" spans="1:9" ht="27" hidden="1">
      <c r="A282" s="76" t="s">
        <v>592</v>
      </c>
      <c r="B282" s="77" t="s">
        <v>178</v>
      </c>
      <c r="C282" s="26" t="s">
        <v>396</v>
      </c>
      <c r="D282" s="26" t="s">
        <v>155</v>
      </c>
      <c r="E282" s="37" t="s">
        <v>322</v>
      </c>
      <c r="F282" s="37" t="s">
        <v>414</v>
      </c>
      <c r="G282" s="85">
        <f t="shared" si="18"/>
        <v>0</v>
      </c>
      <c r="H282" s="85">
        <f>H283</f>
        <v>0</v>
      </c>
      <c r="I282" s="85"/>
    </row>
    <row r="283" spans="1:9" ht="41.25" hidden="1">
      <c r="A283" s="76" t="s">
        <v>212</v>
      </c>
      <c r="B283" s="77" t="s">
        <v>178</v>
      </c>
      <c r="C283" s="26" t="s">
        <v>396</v>
      </c>
      <c r="D283" s="26" t="s">
        <v>155</v>
      </c>
      <c r="E283" s="37" t="s">
        <v>584</v>
      </c>
      <c r="F283" s="37" t="s">
        <v>213</v>
      </c>
      <c r="G283" s="85">
        <f t="shared" si="18"/>
        <v>0</v>
      </c>
      <c r="H283" s="85">
        <f>H284</f>
        <v>0</v>
      </c>
      <c r="I283" s="85"/>
    </row>
    <row r="284" spans="1:9" ht="13.5" hidden="1">
      <c r="A284" s="76" t="s">
        <v>214</v>
      </c>
      <c r="B284" s="77" t="s">
        <v>178</v>
      </c>
      <c r="C284" s="26" t="s">
        <v>396</v>
      </c>
      <c r="D284" s="26" t="s">
        <v>155</v>
      </c>
      <c r="E284" s="37" t="s">
        <v>584</v>
      </c>
      <c r="F284" s="37" t="s">
        <v>289</v>
      </c>
      <c r="G284" s="85">
        <f t="shared" si="18"/>
        <v>0</v>
      </c>
      <c r="H284" s="85"/>
      <c r="I284" s="85"/>
    </row>
    <row r="285" spans="1:9" ht="41.25" hidden="1">
      <c r="A285" s="55" t="s">
        <v>490</v>
      </c>
      <c r="B285" s="77" t="s">
        <v>178</v>
      </c>
      <c r="C285" s="26" t="s">
        <v>396</v>
      </c>
      <c r="D285" s="26" t="s">
        <v>155</v>
      </c>
      <c r="E285" s="59" t="s">
        <v>322</v>
      </c>
      <c r="F285" s="59" t="s">
        <v>414</v>
      </c>
      <c r="G285" s="94">
        <f>G286</f>
        <v>0</v>
      </c>
      <c r="H285" s="94">
        <f>H286</f>
        <v>0</v>
      </c>
      <c r="I285" s="94">
        <f>I286</f>
        <v>0</v>
      </c>
    </row>
    <row r="286" spans="1:9" ht="72.75" customHeight="1" hidden="1">
      <c r="A286" s="131" t="s">
        <v>612</v>
      </c>
      <c r="B286" s="87" t="s">
        <v>178</v>
      </c>
      <c r="C286" s="73" t="s">
        <v>396</v>
      </c>
      <c r="D286" s="73" t="s">
        <v>155</v>
      </c>
      <c r="E286" s="73" t="s">
        <v>322</v>
      </c>
      <c r="F286" s="73" t="s">
        <v>414</v>
      </c>
      <c r="G286" s="88">
        <f>H286+I286</f>
        <v>0</v>
      </c>
      <c r="H286" s="88">
        <f>H287+H289</f>
        <v>0</v>
      </c>
      <c r="I286" s="88">
        <f>I287</f>
        <v>0</v>
      </c>
    </row>
    <row r="287" spans="1:9" ht="69" hidden="1">
      <c r="A287" s="17" t="s">
        <v>661</v>
      </c>
      <c r="B287" s="22" t="s">
        <v>178</v>
      </c>
      <c r="C287" s="37" t="s">
        <v>396</v>
      </c>
      <c r="D287" s="37" t="s">
        <v>155</v>
      </c>
      <c r="E287" s="37" t="s">
        <v>739</v>
      </c>
      <c r="F287" s="37" t="s">
        <v>213</v>
      </c>
      <c r="G287" s="85">
        <f>G288</f>
        <v>0</v>
      </c>
      <c r="H287" s="85">
        <f>H288</f>
        <v>0</v>
      </c>
      <c r="I287" s="85">
        <f>I288</f>
        <v>0</v>
      </c>
    </row>
    <row r="288" spans="1:9" ht="13.5" hidden="1">
      <c r="A288" s="17" t="s">
        <v>214</v>
      </c>
      <c r="B288" s="22" t="s">
        <v>178</v>
      </c>
      <c r="C288" s="37" t="s">
        <v>396</v>
      </c>
      <c r="D288" s="37" t="s">
        <v>155</v>
      </c>
      <c r="E288" s="37" t="s">
        <v>739</v>
      </c>
      <c r="F288" s="37" t="s">
        <v>289</v>
      </c>
      <c r="G288" s="85">
        <f>H288+I288</f>
        <v>0</v>
      </c>
      <c r="H288" s="85"/>
      <c r="I288" s="85">
        <v>0</v>
      </c>
    </row>
    <row r="289" spans="1:9" ht="96.75" hidden="1">
      <c r="A289" s="17" t="s">
        <v>662</v>
      </c>
      <c r="B289" s="22" t="s">
        <v>178</v>
      </c>
      <c r="C289" s="37" t="s">
        <v>396</v>
      </c>
      <c r="D289" s="37" t="s">
        <v>155</v>
      </c>
      <c r="E289" s="37" t="s">
        <v>740</v>
      </c>
      <c r="F289" s="37" t="s">
        <v>213</v>
      </c>
      <c r="G289" s="85">
        <f>G290</f>
        <v>0</v>
      </c>
      <c r="H289" s="85">
        <f>H290</f>
        <v>0</v>
      </c>
      <c r="I289" s="85">
        <f>I290</f>
        <v>0</v>
      </c>
    </row>
    <row r="290" spans="1:9" ht="13.5" hidden="1">
      <c r="A290" s="17" t="s">
        <v>214</v>
      </c>
      <c r="B290" s="22" t="s">
        <v>178</v>
      </c>
      <c r="C290" s="37" t="s">
        <v>396</v>
      </c>
      <c r="D290" s="37" t="s">
        <v>155</v>
      </c>
      <c r="E290" s="37" t="s">
        <v>740</v>
      </c>
      <c r="F290" s="37" t="s">
        <v>289</v>
      </c>
      <c r="G290" s="85">
        <f>H290+I290</f>
        <v>0</v>
      </c>
      <c r="H290" s="85">
        <v>0</v>
      </c>
      <c r="I290" s="85">
        <v>0</v>
      </c>
    </row>
    <row r="291" spans="1:9" ht="13.5" hidden="1">
      <c r="A291" s="17"/>
      <c r="B291" s="22"/>
      <c r="C291" s="37"/>
      <c r="D291" s="37"/>
      <c r="E291" s="37"/>
      <c r="F291" s="37"/>
      <c r="G291" s="85"/>
      <c r="H291" s="85"/>
      <c r="I291" s="85"/>
    </row>
    <row r="292" spans="1:9" ht="41.25">
      <c r="A292" s="103" t="s">
        <v>477</v>
      </c>
      <c r="B292" s="171">
        <v>951</v>
      </c>
      <c r="C292" s="172" t="s">
        <v>396</v>
      </c>
      <c r="D292" s="172" t="s">
        <v>381</v>
      </c>
      <c r="E292" s="59" t="s">
        <v>31</v>
      </c>
      <c r="F292" s="172" t="s">
        <v>414</v>
      </c>
      <c r="G292" s="122">
        <f t="shared" si="11"/>
        <v>111</v>
      </c>
      <c r="H292" s="122">
        <f>H293</f>
        <v>111</v>
      </c>
      <c r="I292" s="122">
        <f aca="true" t="shared" si="19" ref="H292:I294">I293</f>
        <v>0</v>
      </c>
    </row>
    <row r="293" spans="1:9" ht="27">
      <c r="A293" s="104" t="s">
        <v>467</v>
      </c>
      <c r="B293" s="77">
        <v>951</v>
      </c>
      <c r="C293" s="26" t="s">
        <v>396</v>
      </c>
      <c r="D293" s="26" t="s">
        <v>381</v>
      </c>
      <c r="E293" s="26" t="s">
        <v>32</v>
      </c>
      <c r="F293" s="26" t="s">
        <v>414</v>
      </c>
      <c r="G293" s="110">
        <f t="shared" si="11"/>
        <v>111</v>
      </c>
      <c r="H293" s="110">
        <f t="shared" si="19"/>
        <v>111</v>
      </c>
      <c r="I293" s="110">
        <f t="shared" si="19"/>
        <v>0</v>
      </c>
    </row>
    <row r="294" spans="1:9" ht="27">
      <c r="A294" s="76" t="s">
        <v>189</v>
      </c>
      <c r="B294" s="77">
        <v>951</v>
      </c>
      <c r="C294" s="26" t="s">
        <v>396</v>
      </c>
      <c r="D294" s="26" t="s">
        <v>381</v>
      </c>
      <c r="E294" s="26" t="s">
        <v>34</v>
      </c>
      <c r="F294" s="26" t="s">
        <v>157</v>
      </c>
      <c r="G294" s="110">
        <f t="shared" si="11"/>
        <v>111</v>
      </c>
      <c r="H294" s="110">
        <f t="shared" si="19"/>
        <v>111</v>
      </c>
      <c r="I294" s="110">
        <f t="shared" si="19"/>
        <v>0</v>
      </c>
    </row>
    <row r="295" spans="1:9" ht="41.25">
      <c r="A295" s="78" t="s">
        <v>190</v>
      </c>
      <c r="B295" s="77">
        <v>951</v>
      </c>
      <c r="C295" s="26" t="s">
        <v>396</v>
      </c>
      <c r="D295" s="26" t="s">
        <v>381</v>
      </c>
      <c r="E295" s="26" t="s">
        <v>35</v>
      </c>
      <c r="F295" s="26" t="s">
        <v>191</v>
      </c>
      <c r="G295" s="110">
        <f t="shared" si="11"/>
        <v>111</v>
      </c>
      <c r="H295" s="110">
        <v>111</v>
      </c>
      <c r="I295" s="110"/>
    </row>
    <row r="296" spans="1:9" ht="41.25" hidden="1">
      <c r="A296" s="55" t="s">
        <v>287</v>
      </c>
      <c r="B296" s="77">
        <v>951</v>
      </c>
      <c r="C296" s="26" t="s">
        <v>396</v>
      </c>
      <c r="D296" s="26" t="s">
        <v>381</v>
      </c>
      <c r="E296" s="59" t="s">
        <v>41</v>
      </c>
      <c r="F296" s="26" t="s">
        <v>414</v>
      </c>
      <c r="G296" s="110">
        <f t="shared" si="11"/>
        <v>0</v>
      </c>
      <c r="H296" s="110">
        <f>H297</f>
        <v>0</v>
      </c>
      <c r="I296" s="110"/>
    </row>
    <row r="297" spans="1:9" ht="27" hidden="1">
      <c r="A297" s="76" t="s">
        <v>189</v>
      </c>
      <c r="B297" s="77">
        <v>951</v>
      </c>
      <c r="C297" s="26" t="s">
        <v>396</v>
      </c>
      <c r="D297" s="26" t="s">
        <v>381</v>
      </c>
      <c r="E297" s="37" t="s">
        <v>535</v>
      </c>
      <c r="F297" s="26" t="s">
        <v>157</v>
      </c>
      <c r="G297" s="110">
        <f t="shared" si="11"/>
        <v>0</v>
      </c>
      <c r="H297" s="110">
        <f>H298</f>
        <v>0</v>
      </c>
      <c r="I297" s="110"/>
    </row>
    <row r="298" spans="1:9" ht="41.25" hidden="1">
      <c r="A298" s="78" t="s">
        <v>190</v>
      </c>
      <c r="B298" s="77">
        <v>951</v>
      </c>
      <c r="C298" s="26" t="s">
        <v>396</v>
      </c>
      <c r="D298" s="26" t="s">
        <v>381</v>
      </c>
      <c r="E298" s="37" t="s">
        <v>535</v>
      </c>
      <c r="F298" s="26" t="s">
        <v>191</v>
      </c>
      <c r="G298" s="110">
        <f t="shared" si="11"/>
        <v>0</v>
      </c>
      <c r="H298" s="110">
        <v>0</v>
      </c>
      <c r="I298" s="110"/>
    </row>
    <row r="299" spans="1:9" ht="27">
      <c r="A299" s="101" t="s">
        <v>151</v>
      </c>
      <c r="B299" s="77">
        <v>951</v>
      </c>
      <c r="C299" s="26" t="s">
        <v>396</v>
      </c>
      <c r="D299" s="26" t="s">
        <v>381</v>
      </c>
      <c r="E299" s="26" t="s">
        <v>10</v>
      </c>
      <c r="F299" s="26" t="s">
        <v>414</v>
      </c>
      <c r="G299" s="110">
        <f t="shared" si="11"/>
        <v>3458.2</v>
      </c>
      <c r="H299" s="110">
        <f>H300</f>
        <v>3458.2</v>
      </c>
      <c r="I299" s="110">
        <f>I300</f>
        <v>0</v>
      </c>
    </row>
    <row r="300" spans="1:9" ht="42.75" customHeight="1">
      <c r="A300" s="76" t="s">
        <v>152</v>
      </c>
      <c r="B300" s="77">
        <v>951</v>
      </c>
      <c r="C300" s="26" t="s">
        <v>396</v>
      </c>
      <c r="D300" s="26" t="s">
        <v>381</v>
      </c>
      <c r="E300" s="26" t="s">
        <v>11</v>
      </c>
      <c r="F300" s="26" t="s">
        <v>414</v>
      </c>
      <c r="G300" s="110">
        <f t="shared" si="11"/>
        <v>3458.2</v>
      </c>
      <c r="H300" s="110">
        <f>H301</f>
        <v>3458.2</v>
      </c>
      <c r="I300" s="110">
        <f>I301</f>
        <v>0</v>
      </c>
    </row>
    <row r="301" spans="1:11" ht="41.25">
      <c r="A301" s="76" t="s">
        <v>156</v>
      </c>
      <c r="B301" s="77">
        <v>951</v>
      </c>
      <c r="C301" s="26" t="s">
        <v>396</v>
      </c>
      <c r="D301" s="26" t="s">
        <v>381</v>
      </c>
      <c r="E301" s="26" t="s">
        <v>14</v>
      </c>
      <c r="F301" s="26" t="s">
        <v>414</v>
      </c>
      <c r="G301" s="110">
        <f t="shared" si="11"/>
        <v>3458.2</v>
      </c>
      <c r="H301" s="110">
        <f>H302+H304</f>
        <v>3458.2</v>
      </c>
      <c r="I301" s="110">
        <f>I302+I304</f>
        <v>0</v>
      </c>
      <c r="K301" s="84"/>
    </row>
    <row r="302" spans="1:9" ht="81.75" customHeight="1">
      <c r="A302" s="76" t="s">
        <v>186</v>
      </c>
      <c r="B302" s="77">
        <v>951</v>
      </c>
      <c r="C302" s="26" t="s">
        <v>396</v>
      </c>
      <c r="D302" s="26" t="s">
        <v>381</v>
      </c>
      <c r="E302" s="26" t="s">
        <v>14</v>
      </c>
      <c r="F302" s="26" t="s">
        <v>153</v>
      </c>
      <c r="G302" s="110">
        <f>H302+I302</f>
        <v>3313.2</v>
      </c>
      <c r="H302" s="110">
        <f>H303</f>
        <v>3313.2</v>
      </c>
      <c r="I302" s="110">
        <f>I303</f>
        <v>0</v>
      </c>
    </row>
    <row r="303" spans="1:9" ht="27">
      <c r="A303" s="76" t="s">
        <v>188</v>
      </c>
      <c r="B303" s="77">
        <v>951</v>
      </c>
      <c r="C303" s="26" t="s">
        <v>396</v>
      </c>
      <c r="D303" s="26" t="s">
        <v>381</v>
      </c>
      <c r="E303" s="26" t="s">
        <v>14</v>
      </c>
      <c r="F303" s="26" t="s">
        <v>187</v>
      </c>
      <c r="G303" s="110">
        <f>H303+I303</f>
        <v>3313.2</v>
      </c>
      <c r="H303" s="110">
        <f>2510.9+44+758.3</f>
        <v>3313.2</v>
      </c>
      <c r="I303" s="110"/>
    </row>
    <row r="304" spans="1:9" ht="27">
      <c r="A304" s="76" t="s">
        <v>189</v>
      </c>
      <c r="B304" s="77">
        <v>951</v>
      </c>
      <c r="C304" s="26" t="s">
        <v>396</v>
      </c>
      <c r="D304" s="26" t="s">
        <v>381</v>
      </c>
      <c r="E304" s="26" t="s">
        <v>14</v>
      </c>
      <c r="F304" s="26" t="s">
        <v>157</v>
      </c>
      <c r="G304" s="110">
        <f t="shared" si="11"/>
        <v>145</v>
      </c>
      <c r="H304" s="110">
        <f>H305</f>
        <v>145</v>
      </c>
      <c r="I304" s="110">
        <f>I305</f>
        <v>0</v>
      </c>
    </row>
    <row r="305" spans="1:9" ht="41.25">
      <c r="A305" s="78" t="s">
        <v>190</v>
      </c>
      <c r="B305" s="77">
        <v>951</v>
      </c>
      <c r="C305" s="26" t="s">
        <v>396</v>
      </c>
      <c r="D305" s="26" t="s">
        <v>381</v>
      </c>
      <c r="E305" s="26" t="s">
        <v>14</v>
      </c>
      <c r="F305" s="26" t="s">
        <v>191</v>
      </c>
      <c r="G305" s="110">
        <f t="shared" si="11"/>
        <v>145</v>
      </c>
      <c r="H305" s="110">
        <f>145</f>
        <v>145</v>
      </c>
      <c r="I305" s="110"/>
    </row>
    <row r="306" spans="1:11" ht="70.5" customHeight="1">
      <c r="A306" s="17" t="s">
        <v>695</v>
      </c>
      <c r="B306" s="22">
        <v>951</v>
      </c>
      <c r="C306" s="37" t="s">
        <v>396</v>
      </c>
      <c r="D306" s="37" t="s">
        <v>381</v>
      </c>
      <c r="E306" s="37" t="s">
        <v>703</v>
      </c>
      <c r="F306" s="37" t="s">
        <v>414</v>
      </c>
      <c r="G306" s="85">
        <f t="shared" si="11"/>
        <v>1882.5029999999997</v>
      </c>
      <c r="H306" s="85">
        <f>H307+H309</f>
        <v>0</v>
      </c>
      <c r="I306" s="85">
        <f>I307+I309</f>
        <v>1882.5029999999997</v>
      </c>
      <c r="K306" s="84"/>
    </row>
    <row r="307" spans="1:9" ht="85.5" customHeight="1">
      <c r="A307" s="17" t="s">
        <v>186</v>
      </c>
      <c r="B307" s="22">
        <v>951</v>
      </c>
      <c r="C307" s="37" t="s">
        <v>396</v>
      </c>
      <c r="D307" s="37" t="s">
        <v>381</v>
      </c>
      <c r="E307" s="37" t="s">
        <v>703</v>
      </c>
      <c r="F307" s="37" t="s">
        <v>153</v>
      </c>
      <c r="G307" s="85">
        <f t="shared" si="11"/>
        <v>1328.5539999999999</v>
      </c>
      <c r="H307" s="85">
        <f>H308</f>
        <v>0</v>
      </c>
      <c r="I307" s="85">
        <f>I308</f>
        <v>1328.5539999999999</v>
      </c>
    </row>
    <row r="308" spans="1:9" ht="27">
      <c r="A308" s="46" t="s">
        <v>188</v>
      </c>
      <c r="B308" s="22">
        <v>951</v>
      </c>
      <c r="C308" s="37" t="s">
        <v>396</v>
      </c>
      <c r="D308" s="37" t="s">
        <v>381</v>
      </c>
      <c r="E308" s="37" t="s">
        <v>703</v>
      </c>
      <c r="F308" s="37" t="s">
        <v>187</v>
      </c>
      <c r="G308" s="85">
        <f t="shared" si="11"/>
        <v>1328.5539999999999</v>
      </c>
      <c r="H308" s="85"/>
      <c r="I308" s="85">
        <f>1311.899+16.655</f>
        <v>1328.5539999999999</v>
      </c>
    </row>
    <row r="309" spans="1:9" ht="27">
      <c r="A309" s="17" t="s">
        <v>189</v>
      </c>
      <c r="B309" s="22">
        <v>951</v>
      </c>
      <c r="C309" s="37" t="s">
        <v>396</v>
      </c>
      <c r="D309" s="37" t="s">
        <v>381</v>
      </c>
      <c r="E309" s="37" t="s">
        <v>703</v>
      </c>
      <c r="F309" s="37" t="s">
        <v>157</v>
      </c>
      <c r="G309" s="85">
        <f t="shared" si="11"/>
        <v>553.949</v>
      </c>
      <c r="H309" s="85">
        <f>H310</f>
        <v>0</v>
      </c>
      <c r="I309" s="85">
        <f>I310</f>
        <v>553.949</v>
      </c>
    </row>
    <row r="310" spans="1:9" ht="41.25">
      <c r="A310" s="46" t="s">
        <v>190</v>
      </c>
      <c r="B310" s="22">
        <v>951</v>
      </c>
      <c r="C310" s="37" t="s">
        <v>396</v>
      </c>
      <c r="D310" s="37" t="s">
        <v>381</v>
      </c>
      <c r="E310" s="37" t="s">
        <v>703</v>
      </c>
      <c r="F310" s="37" t="s">
        <v>191</v>
      </c>
      <c r="G310" s="85">
        <f t="shared" si="11"/>
        <v>553.949</v>
      </c>
      <c r="H310" s="85"/>
      <c r="I310" s="85">
        <v>553.949</v>
      </c>
    </row>
    <row r="311" spans="1:9" ht="13.5">
      <c r="A311" s="105" t="s">
        <v>185</v>
      </c>
      <c r="B311" s="173">
        <v>951</v>
      </c>
      <c r="C311" s="80" t="s">
        <v>384</v>
      </c>
      <c r="D311" s="80" t="s">
        <v>149</v>
      </c>
      <c r="E311" s="80" t="s">
        <v>322</v>
      </c>
      <c r="F311" s="80" t="s">
        <v>414</v>
      </c>
      <c r="G311" s="123">
        <f>H311+I311</f>
        <v>16779.96968</v>
      </c>
      <c r="H311" s="123">
        <f>H312+H345</f>
        <v>14549.796789999999</v>
      </c>
      <c r="I311" s="123">
        <f>I312+I345</f>
        <v>2230.17289</v>
      </c>
    </row>
    <row r="312" spans="1:9" ht="17.25" customHeight="1">
      <c r="A312" s="52" t="s">
        <v>451</v>
      </c>
      <c r="B312" s="22">
        <v>951</v>
      </c>
      <c r="C312" s="37" t="s">
        <v>384</v>
      </c>
      <c r="D312" s="37" t="s">
        <v>148</v>
      </c>
      <c r="E312" s="37" t="s">
        <v>322</v>
      </c>
      <c r="F312" s="37" t="s">
        <v>414</v>
      </c>
      <c r="G312" s="85">
        <f t="shared" si="11"/>
        <v>15488.839479999999</v>
      </c>
      <c r="H312" s="85">
        <f>H313+H342</f>
        <v>13458.666589999999</v>
      </c>
      <c r="I312" s="85">
        <f>I313+I342</f>
        <v>2030.17289</v>
      </c>
    </row>
    <row r="313" spans="1:9" ht="41.25" customHeight="1">
      <c r="A313" s="55" t="s">
        <v>490</v>
      </c>
      <c r="B313" s="74">
        <v>951</v>
      </c>
      <c r="C313" s="59" t="s">
        <v>384</v>
      </c>
      <c r="D313" s="59" t="s">
        <v>148</v>
      </c>
      <c r="E313" s="59" t="s">
        <v>100</v>
      </c>
      <c r="F313" s="59" t="s">
        <v>414</v>
      </c>
      <c r="G313" s="94">
        <f t="shared" si="11"/>
        <v>15488.839479999999</v>
      </c>
      <c r="H313" s="94">
        <f>H314+H319+H328+H332+H339</f>
        <v>13458.666589999999</v>
      </c>
      <c r="I313" s="94">
        <f>I314+I319+I328+I332+I339</f>
        <v>2030.17289</v>
      </c>
    </row>
    <row r="314" spans="1:9" ht="62.25" customHeight="1">
      <c r="A314" s="81" t="s">
        <v>541</v>
      </c>
      <c r="B314" s="22">
        <v>951</v>
      </c>
      <c r="C314" s="37" t="s">
        <v>384</v>
      </c>
      <c r="D314" s="37" t="s">
        <v>148</v>
      </c>
      <c r="E314" s="37" t="s">
        <v>77</v>
      </c>
      <c r="F314" s="37" t="s">
        <v>414</v>
      </c>
      <c r="G314" s="85">
        <f t="shared" si="11"/>
        <v>9525.5898</v>
      </c>
      <c r="H314" s="85">
        <f>H315+H317</f>
        <v>9525.5898</v>
      </c>
      <c r="I314" s="85">
        <f>I315</f>
        <v>0</v>
      </c>
    </row>
    <row r="315" spans="1:9" ht="41.25">
      <c r="A315" s="17" t="s">
        <v>212</v>
      </c>
      <c r="B315" s="22">
        <v>951</v>
      </c>
      <c r="C315" s="37" t="s">
        <v>384</v>
      </c>
      <c r="D315" s="37" t="s">
        <v>148</v>
      </c>
      <c r="E315" s="37" t="s">
        <v>78</v>
      </c>
      <c r="F315" s="37" t="s">
        <v>213</v>
      </c>
      <c r="G315" s="85">
        <f>H315+I315</f>
        <v>7905.5898</v>
      </c>
      <c r="H315" s="85">
        <f>H316</f>
        <v>7905.5898</v>
      </c>
      <c r="I315" s="85"/>
    </row>
    <row r="316" spans="1:9" ht="13.5">
      <c r="A316" s="17" t="s">
        <v>214</v>
      </c>
      <c r="B316" s="22">
        <v>951</v>
      </c>
      <c r="C316" s="37" t="s">
        <v>384</v>
      </c>
      <c r="D316" s="37" t="s">
        <v>148</v>
      </c>
      <c r="E316" s="37" t="s">
        <v>79</v>
      </c>
      <c r="F316" s="37" t="s">
        <v>289</v>
      </c>
      <c r="G316" s="85">
        <f t="shared" si="11"/>
        <v>7905.5898</v>
      </c>
      <c r="H316" s="85">
        <f>5802.65+100+72.86+25+150-0.0202+1755.1</f>
        <v>7905.5898</v>
      </c>
      <c r="I316" s="85"/>
    </row>
    <row r="317" spans="1:9" ht="99" customHeight="1">
      <c r="A317" s="17" t="s">
        <v>98</v>
      </c>
      <c r="B317" s="22">
        <v>951</v>
      </c>
      <c r="C317" s="37" t="s">
        <v>384</v>
      </c>
      <c r="D317" s="37" t="s">
        <v>148</v>
      </c>
      <c r="E317" s="37" t="s">
        <v>97</v>
      </c>
      <c r="F317" s="37" t="s">
        <v>213</v>
      </c>
      <c r="G317" s="85">
        <f t="shared" si="11"/>
        <v>1620</v>
      </c>
      <c r="H317" s="85">
        <f>H318</f>
        <v>1620</v>
      </c>
      <c r="I317" s="85"/>
    </row>
    <row r="318" spans="1:9" ht="16.5" customHeight="1">
      <c r="A318" s="17" t="s">
        <v>214</v>
      </c>
      <c r="B318" s="22">
        <v>951</v>
      </c>
      <c r="C318" s="37" t="s">
        <v>384</v>
      </c>
      <c r="D318" s="37" t="s">
        <v>148</v>
      </c>
      <c r="E318" s="37" t="s">
        <v>97</v>
      </c>
      <c r="F318" s="37" t="s">
        <v>289</v>
      </c>
      <c r="G318" s="85">
        <f t="shared" si="11"/>
        <v>1620</v>
      </c>
      <c r="H318" s="85">
        <v>1620</v>
      </c>
      <c r="I318" s="85"/>
    </row>
    <row r="319" spans="1:9" ht="62.25" customHeight="1">
      <c r="A319" s="79" t="s">
        <v>593</v>
      </c>
      <c r="B319" s="22">
        <v>951</v>
      </c>
      <c r="C319" s="80" t="s">
        <v>384</v>
      </c>
      <c r="D319" s="80" t="s">
        <v>148</v>
      </c>
      <c r="E319" s="80" t="s">
        <v>77</v>
      </c>
      <c r="F319" s="80" t="s">
        <v>414</v>
      </c>
      <c r="G319" s="93">
        <f>H319+I319</f>
        <v>1821.94949</v>
      </c>
      <c r="H319" s="93">
        <f>H320+H323+H326</f>
        <v>18.21949</v>
      </c>
      <c r="I319" s="93">
        <f>I320+I323+I326</f>
        <v>1803.73</v>
      </c>
    </row>
    <row r="320" spans="1:9" ht="69" customHeight="1">
      <c r="A320" s="55" t="s">
        <v>594</v>
      </c>
      <c r="B320" s="22">
        <v>951</v>
      </c>
      <c r="C320" s="59" t="s">
        <v>384</v>
      </c>
      <c r="D320" s="59" t="s">
        <v>148</v>
      </c>
      <c r="E320" s="59" t="s">
        <v>595</v>
      </c>
      <c r="F320" s="59" t="s">
        <v>414</v>
      </c>
      <c r="G320" s="94">
        <f>H320+I320</f>
        <v>1803.73</v>
      </c>
      <c r="H320" s="94">
        <f>H321</f>
        <v>0</v>
      </c>
      <c r="I320" s="94">
        <f>I321</f>
        <v>1803.73</v>
      </c>
    </row>
    <row r="321" spans="1:9" ht="48" customHeight="1">
      <c r="A321" s="17" t="s">
        <v>212</v>
      </c>
      <c r="B321" s="22">
        <v>951</v>
      </c>
      <c r="C321" s="37" t="s">
        <v>384</v>
      </c>
      <c r="D321" s="37" t="s">
        <v>148</v>
      </c>
      <c r="E321" s="37" t="s">
        <v>595</v>
      </c>
      <c r="F321" s="37" t="s">
        <v>213</v>
      </c>
      <c r="G321" s="85">
        <f>H321+I321</f>
        <v>1803.73</v>
      </c>
      <c r="H321" s="85">
        <f>H322</f>
        <v>0</v>
      </c>
      <c r="I321" s="85">
        <f>I322</f>
        <v>1803.73</v>
      </c>
    </row>
    <row r="322" spans="1:9" ht="20.25" customHeight="1">
      <c r="A322" s="17" t="s">
        <v>214</v>
      </c>
      <c r="B322" s="22">
        <v>951</v>
      </c>
      <c r="C322" s="37" t="s">
        <v>384</v>
      </c>
      <c r="D322" s="37" t="s">
        <v>148</v>
      </c>
      <c r="E322" s="37" t="s">
        <v>595</v>
      </c>
      <c r="F322" s="37" t="s">
        <v>289</v>
      </c>
      <c r="G322" s="85">
        <f>H322+I322</f>
        <v>1803.73</v>
      </c>
      <c r="H322" s="85"/>
      <c r="I322" s="85">
        <v>1803.73</v>
      </c>
    </row>
    <row r="323" spans="1:9" ht="119.25" customHeight="1">
      <c r="A323" s="55" t="s">
        <v>623</v>
      </c>
      <c r="B323" s="22">
        <v>951</v>
      </c>
      <c r="C323" s="59" t="s">
        <v>384</v>
      </c>
      <c r="D323" s="59" t="s">
        <v>148</v>
      </c>
      <c r="E323" s="59" t="s">
        <v>596</v>
      </c>
      <c r="F323" s="59" t="s">
        <v>414</v>
      </c>
      <c r="G323" s="94">
        <f>H323</f>
        <v>18.21949</v>
      </c>
      <c r="H323" s="94">
        <f>H324</f>
        <v>18.21949</v>
      </c>
      <c r="I323" s="94"/>
    </row>
    <row r="324" spans="1:9" ht="48" customHeight="1">
      <c r="A324" s="17" t="s">
        <v>212</v>
      </c>
      <c r="B324" s="22">
        <v>951</v>
      </c>
      <c r="C324" s="37" t="s">
        <v>384</v>
      </c>
      <c r="D324" s="37" t="s">
        <v>148</v>
      </c>
      <c r="E324" s="37" t="s">
        <v>596</v>
      </c>
      <c r="F324" s="37" t="s">
        <v>213</v>
      </c>
      <c r="G324" s="85">
        <f>H324</f>
        <v>18.21949</v>
      </c>
      <c r="H324" s="85">
        <f>H325</f>
        <v>18.21949</v>
      </c>
      <c r="I324" s="85"/>
    </row>
    <row r="325" spans="1:9" ht="15.75" customHeight="1">
      <c r="A325" s="17" t="s">
        <v>214</v>
      </c>
      <c r="B325" s="22">
        <v>951</v>
      </c>
      <c r="C325" s="37" t="s">
        <v>384</v>
      </c>
      <c r="D325" s="37" t="s">
        <v>148</v>
      </c>
      <c r="E325" s="37" t="s">
        <v>596</v>
      </c>
      <c r="F325" s="37" t="s">
        <v>289</v>
      </c>
      <c r="G325" s="85">
        <f>H325</f>
        <v>18.21949</v>
      </c>
      <c r="H325" s="85">
        <f>18.21949+2-2</f>
        <v>18.21949</v>
      </c>
      <c r="I325" s="85"/>
    </row>
    <row r="326" spans="1:9" ht="89.25" customHeight="1" hidden="1">
      <c r="A326" s="17" t="s">
        <v>790</v>
      </c>
      <c r="B326" s="22">
        <v>951</v>
      </c>
      <c r="C326" s="37" t="s">
        <v>384</v>
      </c>
      <c r="D326" s="37" t="s">
        <v>148</v>
      </c>
      <c r="E326" s="37" t="s">
        <v>818</v>
      </c>
      <c r="F326" s="37" t="s">
        <v>414</v>
      </c>
      <c r="G326" s="85">
        <f>H326</f>
        <v>0</v>
      </c>
      <c r="H326" s="85">
        <f>H327</f>
        <v>0</v>
      </c>
      <c r="I326" s="85"/>
    </row>
    <row r="327" spans="1:9" ht="15.75" customHeight="1" hidden="1">
      <c r="A327" s="17" t="s">
        <v>214</v>
      </c>
      <c r="B327" s="22">
        <v>951</v>
      </c>
      <c r="C327" s="37" t="s">
        <v>384</v>
      </c>
      <c r="D327" s="37" t="s">
        <v>148</v>
      </c>
      <c r="E327" s="37" t="s">
        <v>818</v>
      </c>
      <c r="F327" s="37" t="s">
        <v>289</v>
      </c>
      <c r="G327" s="85">
        <f>H327</f>
        <v>0</v>
      </c>
      <c r="H327" s="85">
        <f>25-25</f>
        <v>0</v>
      </c>
      <c r="I327" s="85"/>
    </row>
    <row r="328" spans="1:9" ht="63" customHeight="1">
      <c r="A328" s="81" t="s">
        <v>542</v>
      </c>
      <c r="B328" s="22">
        <v>951</v>
      </c>
      <c r="C328" s="37" t="s">
        <v>384</v>
      </c>
      <c r="D328" s="37" t="s">
        <v>148</v>
      </c>
      <c r="E328" s="37" t="s">
        <v>80</v>
      </c>
      <c r="F328" s="37" t="s">
        <v>414</v>
      </c>
      <c r="G328" s="85">
        <f t="shared" si="11"/>
        <v>2488.2400000000002</v>
      </c>
      <c r="H328" s="85">
        <f>H329</f>
        <v>2488.2400000000002</v>
      </c>
      <c r="I328" s="85">
        <f>I329</f>
        <v>0</v>
      </c>
    </row>
    <row r="329" spans="1:9" ht="41.25">
      <c r="A329" s="17" t="s">
        <v>212</v>
      </c>
      <c r="B329" s="22">
        <v>951</v>
      </c>
      <c r="C329" s="37" t="s">
        <v>384</v>
      </c>
      <c r="D329" s="37" t="s">
        <v>148</v>
      </c>
      <c r="E329" s="37" t="s">
        <v>80</v>
      </c>
      <c r="F329" s="37" t="s">
        <v>414</v>
      </c>
      <c r="G329" s="85">
        <f t="shared" si="11"/>
        <v>2488.2400000000002</v>
      </c>
      <c r="H329" s="85">
        <f>H330</f>
        <v>2488.2400000000002</v>
      </c>
      <c r="I329" s="85">
        <f>I330+I331</f>
        <v>0</v>
      </c>
    </row>
    <row r="330" spans="1:9" ht="27">
      <c r="A330" s="17" t="s">
        <v>223</v>
      </c>
      <c r="B330" s="22">
        <v>951</v>
      </c>
      <c r="C330" s="37" t="s">
        <v>384</v>
      </c>
      <c r="D330" s="37" t="s">
        <v>148</v>
      </c>
      <c r="E330" s="37" t="s">
        <v>80</v>
      </c>
      <c r="F330" s="37" t="s">
        <v>213</v>
      </c>
      <c r="G330" s="85">
        <f t="shared" si="11"/>
        <v>2488.2400000000002</v>
      </c>
      <c r="H330" s="85">
        <f>H331</f>
        <v>2488.2400000000002</v>
      </c>
      <c r="I330" s="85"/>
    </row>
    <row r="331" spans="1:9" ht="16.5" customHeight="1">
      <c r="A331" s="17" t="s">
        <v>214</v>
      </c>
      <c r="B331" s="22">
        <v>951</v>
      </c>
      <c r="C331" s="37" t="s">
        <v>384</v>
      </c>
      <c r="D331" s="37" t="s">
        <v>148</v>
      </c>
      <c r="E331" s="37" t="s">
        <v>80</v>
      </c>
      <c r="F331" s="37" t="s">
        <v>289</v>
      </c>
      <c r="G331" s="85">
        <f t="shared" si="11"/>
        <v>2488.2400000000002</v>
      </c>
      <c r="H331" s="85">
        <f>1566.14+610.1+67+245</f>
        <v>2488.2400000000002</v>
      </c>
      <c r="I331" s="85"/>
    </row>
    <row r="332" spans="1:9" ht="63" customHeight="1">
      <c r="A332" s="79" t="s">
        <v>597</v>
      </c>
      <c r="B332" s="22">
        <v>951</v>
      </c>
      <c r="C332" s="80" t="s">
        <v>384</v>
      </c>
      <c r="D332" s="80" t="s">
        <v>148</v>
      </c>
      <c r="E332" s="80" t="s">
        <v>598</v>
      </c>
      <c r="F332" s="80" t="s">
        <v>414</v>
      </c>
      <c r="G332" s="93">
        <f>H332+I332</f>
        <v>228.73019</v>
      </c>
      <c r="H332" s="93">
        <f>H336</f>
        <v>2.2873</v>
      </c>
      <c r="I332" s="93">
        <f>I333</f>
        <v>226.44289</v>
      </c>
    </row>
    <row r="333" spans="1:9" ht="69" customHeight="1">
      <c r="A333" s="55" t="s">
        <v>624</v>
      </c>
      <c r="B333" s="22">
        <v>951</v>
      </c>
      <c r="C333" s="59" t="s">
        <v>384</v>
      </c>
      <c r="D333" s="59" t="s">
        <v>148</v>
      </c>
      <c r="E333" s="59" t="s">
        <v>599</v>
      </c>
      <c r="F333" s="59" t="s">
        <v>414</v>
      </c>
      <c r="G333" s="94">
        <f>I333</f>
        <v>226.44289</v>
      </c>
      <c r="H333" s="94"/>
      <c r="I333" s="94">
        <f>I334</f>
        <v>226.44289</v>
      </c>
    </row>
    <row r="334" spans="1:9" ht="48.75" customHeight="1">
      <c r="A334" s="17" t="s">
        <v>212</v>
      </c>
      <c r="B334" s="22">
        <v>951</v>
      </c>
      <c r="C334" s="37" t="s">
        <v>384</v>
      </c>
      <c r="D334" s="37" t="s">
        <v>148</v>
      </c>
      <c r="E334" s="37" t="s">
        <v>599</v>
      </c>
      <c r="F334" s="37" t="s">
        <v>213</v>
      </c>
      <c r="G334" s="85">
        <f>I334</f>
        <v>226.44289</v>
      </c>
      <c r="H334" s="85"/>
      <c r="I334" s="85">
        <f>I335</f>
        <v>226.44289</v>
      </c>
    </row>
    <row r="335" spans="1:9" ht="20.25" customHeight="1">
      <c r="A335" s="17" t="s">
        <v>214</v>
      </c>
      <c r="B335" s="22">
        <v>951</v>
      </c>
      <c r="C335" s="37" t="s">
        <v>384</v>
      </c>
      <c r="D335" s="37" t="s">
        <v>148</v>
      </c>
      <c r="E335" s="37" t="s">
        <v>599</v>
      </c>
      <c r="F335" s="37" t="s">
        <v>289</v>
      </c>
      <c r="G335" s="85">
        <f>I335</f>
        <v>226.44289</v>
      </c>
      <c r="H335" s="85"/>
      <c r="I335" s="85">
        <v>226.44289</v>
      </c>
    </row>
    <row r="336" spans="1:9" ht="97.5" customHeight="1">
      <c r="A336" s="55" t="s">
        <v>625</v>
      </c>
      <c r="B336" s="22">
        <v>951</v>
      </c>
      <c r="C336" s="59" t="s">
        <v>384</v>
      </c>
      <c r="D336" s="59" t="s">
        <v>148</v>
      </c>
      <c r="E336" s="59" t="s">
        <v>600</v>
      </c>
      <c r="F336" s="59" t="s">
        <v>414</v>
      </c>
      <c r="G336" s="94">
        <f>H336</f>
        <v>2.2873</v>
      </c>
      <c r="H336" s="94">
        <f>H337</f>
        <v>2.2873</v>
      </c>
      <c r="I336" s="94"/>
    </row>
    <row r="337" spans="1:9" ht="47.25" customHeight="1">
      <c r="A337" s="17" t="s">
        <v>212</v>
      </c>
      <c r="B337" s="22">
        <v>951</v>
      </c>
      <c r="C337" s="37" t="s">
        <v>384</v>
      </c>
      <c r="D337" s="37" t="s">
        <v>148</v>
      </c>
      <c r="E337" s="37" t="s">
        <v>600</v>
      </c>
      <c r="F337" s="37" t="s">
        <v>213</v>
      </c>
      <c r="G337" s="85">
        <f>H337</f>
        <v>2.2873</v>
      </c>
      <c r="H337" s="85">
        <f>H338</f>
        <v>2.2873</v>
      </c>
      <c r="I337" s="85"/>
    </row>
    <row r="338" spans="1:9" ht="18" customHeight="1">
      <c r="A338" s="17" t="s">
        <v>214</v>
      </c>
      <c r="B338" s="22">
        <v>951</v>
      </c>
      <c r="C338" s="37" t="s">
        <v>384</v>
      </c>
      <c r="D338" s="37" t="s">
        <v>148</v>
      </c>
      <c r="E338" s="37" t="s">
        <v>600</v>
      </c>
      <c r="F338" s="37" t="s">
        <v>289</v>
      </c>
      <c r="G338" s="85">
        <f>H338</f>
        <v>2.2873</v>
      </c>
      <c r="H338" s="85">
        <v>2.2873</v>
      </c>
      <c r="I338" s="85"/>
    </row>
    <row r="339" spans="1:9" ht="87" customHeight="1">
      <c r="A339" s="81" t="s">
        <v>543</v>
      </c>
      <c r="B339" s="22" t="s">
        <v>178</v>
      </c>
      <c r="C339" s="37" t="s">
        <v>384</v>
      </c>
      <c r="D339" s="37" t="s">
        <v>148</v>
      </c>
      <c r="E339" s="37" t="s">
        <v>81</v>
      </c>
      <c r="F339" s="37" t="s">
        <v>414</v>
      </c>
      <c r="G339" s="85">
        <f t="shared" si="11"/>
        <v>1424.3300000000002</v>
      </c>
      <c r="H339" s="85">
        <f>H340</f>
        <v>1424.3300000000002</v>
      </c>
      <c r="I339" s="85">
        <f>I340</f>
        <v>0</v>
      </c>
    </row>
    <row r="340" spans="1:9" ht="41.25">
      <c r="A340" s="17" t="s">
        <v>212</v>
      </c>
      <c r="B340" s="22" t="s">
        <v>178</v>
      </c>
      <c r="C340" s="37" t="s">
        <v>384</v>
      </c>
      <c r="D340" s="37" t="s">
        <v>148</v>
      </c>
      <c r="E340" s="37" t="s">
        <v>81</v>
      </c>
      <c r="F340" s="37" t="s">
        <v>213</v>
      </c>
      <c r="G340" s="85">
        <f aca="true" t="shared" si="20" ref="G340:G350">H340+I340</f>
        <v>1424.3300000000002</v>
      </c>
      <c r="H340" s="85">
        <f>H341</f>
        <v>1424.3300000000002</v>
      </c>
      <c r="I340" s="85">
        <f>I341</f>
        <v>0</v>
      </c>
    </row>
    <row r="341" spans="1:9" ht="13.5">
      <c r="A341" s="17" t="s">
        <v>214</v>
      </c>
      <c r="B341" s="22" t="s">
        <v>178</v>
      </c>
      <c r="C341" s="37" t="s">
        <v>384</v>
      </c>
      <c r="D341" s="37" t="s">
        <v>148</v>
      </c>
      <c r="E341" s="37" t="s">
        <v>81</v>
      </c>
      <c r="F341" s="37" t="s">
        <v>289</v>
      </c>
      <c r="G341" s="85">
        <f t="shared" si="20"/>
        <v>1424.3300000000002</v>
      </c>
      <c r="H341" s="85">
        <f>1181.43+25+217.9</f>
        <v>1424.3300000000002</v>
      </c>
      <c r="I341" s="85"/>
    </row>
    <row r="342" spans="1:9" ht="69" hidden="1">
      <c r="A342" s="17" t="s">
        <v>446</v>
      </c>
      <c r="B342" s="22" t="s">
        <v>178</v>
      </c>
      <c r="C342" s="37" t="s">
        <v>384</v>
      </c>
      <c r="D342" s="37" t="s">
        <v>148</v>
      </c>
      <c r="E342" s="37" t="s">
        <v>445</v>
      </c>
      <c r="F342" s="37" t="s">
        <v>414</v>
      </c>
      <c r="G342" s="85">
        <f t="shared" si="20"/>
        <v>0</v>
      </c>
      <c r="H342" s="85"/>
      <c r="I342" s="85">
        <f>I343</f>
        <v>0</v>
      </c>
    </row>
    <row r="343" spans="1:9" ht="41.25" hidden="1">
      <c r="A343" s="17" t="s">
        <v>212</v>
      </c>
      <c r="B343" s="22" t="s">
        <v>178</v>
      </c>
      <c r="C343" s="37" t="s">
        <v>384</v>
      </c>
      <c r="D343" s="37" t="s">
        <v>148</v>
      </c>
      <c r="E343" s="37" t="s">
        <v>445</v>
      </c>
      <c r="F343" s="37" t="s">
        <v>213</v>
      </c>
      <c r="G343" s="85">
        <f t="shared" si="20"/>
        <v>0</v>
      </c>
      <c r="H343" s="85"/>
      <c r="I343" s="85">
        <f>I344</f>
        <v>0</v>
      </c>
    </row>
    <row r="344" spans="1:9" ht="13.5" hidden="1">
      <c r="A344" s="17" t="s">
        <v>214</v>
      </c>
      <c r="B344" s="22" t="s">
        <v>178</v>
      </c>
      <c r="C344" s="37" t="s">
        <v>384</v>
      </c>
      <c r="D344" s="37" t="s">
        <v>148</v>
      </c>
      <c r="E344" s="37" t="s">
        <v>445</v>
      </c>
      <c r="F344" s="37" t="s">
        <v>289</v>
      </c>
      <c r="G344" s="85">
        <f t="shared" si="20"/>
        <v>0</v>
      </c>
      <c r="H344" s="85"/>
      <c r="I344" s="85"/>
    </row>
    <row r="345" spans="1:10" ht="27">
      <c r="A345" s="17" t="s">
        <v>5</v>
      </c>
      <c r="B345" s="22">
        <v>951</v>
      </c>
      <c r="C345" s="37" t="s">
        <v>384</v>
      </c>
      <c r="D345" s="37" t="s">
        <v>159</v>
      </c>
      <c r="E345" s="37" t="s">
        <v>322</v>
      </c>
      <c r="F345" s="37" t="s">
        <v>414</v>
      </c>
      <c r="G345" s="85">
        <f t="shared" si="20"/>
        <v>1291.1302</v>
      </c>
      <c r="H345" s="85">
        <f>H346+H360+H362+H357+H365</f>
        <v>1091.1302</v>
      </c>
      <c r="I345" s="85">
        <f>I346+I360+I362+I357+I365</f>
        <v>200</v>
      </c>
      <c r="J345" s="84"/>
    </row>
    <row r="346" spans="1:9" ht="45" customHeight="1">
      <c r="A346" s="33" t="s">
        <v>482</v>
      </c>
      <c r="B346" s="22">
        <v>952</v>
      </c>
      <c r="C346" s="37" t="s">
        <v>384</v>
      </c>
      <c r="D346" s="37" t="s">
        <v>159</v>
      </c>
      <c r="E346" s="37" t="s">
        <v>946</v>
      </c>
      <c r="F346" s="37" t="s">
        <v>414</v>
      </c>
      <c r="G346" s="85">
        <f t="shared" si="20"/>
        <v>1219.9302</v>
      </c>
      <c r="H346" s="85">
        <f>H347+H350</f>
        <v>1019.9302</v>
      </c>
      <c r="I346" s="85">
        <f>I347+I350</f>
        <v>200</v>
      </c>
    </row>
    <row r="347" spans="1:9" ht="37.5" customHeight="1">
      <c r="A347" s="81" t="s">
        <v>544</v>
      </c>
      <c r="B347" s="22">
        <v>951</v>
      </c>
      <c r="C347" s="37" t="s">
        <v>384</v>
      </c>
      <c r="D347" s="37" t="s">
        <v>159</v>
      </c>
      <c r="E347" s="37" t="s">
        <v>82</v>
      </c>
      <c r="F347" s="37" t="s">
        <v>414</v>
      </c>
      <c r="G347" s="85">
        <f t="shared" si="20"/>
        <v>1017.91</v>
      </c>
      <c r="H347" s="85">
        <f>H348</f>
        <v>1017.91</v>
      </c>
      <c r="I347" s="85">
        <f>I348</f>
        <v>0</v>
      </c>
    </row>
    <row r="348" spans="1:9" ht="45.75" customHeight="1">
      <c r="A348" s="17" t="s">
        <v>212</v>
      </c>
      <c r="B348" s="22">
        <v>951</v>
      </c>
      <c r="C348" s="37" t="s">
        <v>384</v>
      </c>
      <c r="D348" s="37" t="s">
        <v>159</v>
      </c>
      <c r="E348" s="37" t="s">
        <v>82</v>
      </c>
      <c r="F348" s="37" t="s">
        <v>213</v>
      </c>
      <c r="G348" s="85">
        <f t="shared" si="20"/>
        <v>1017.91</v>
      </c>
      <c r="H348" s="85">
        <f>H349</f>
        <v>1017.91</v>
      </c>
      <c r="I348" s="85">
        <f>I349</f>
        <v>0</v>
      </c>
    </row>
    <row r="349" spans="1:9" ht="16.5" customHeight="1">
      <c r="A349" s="17" t="s">
        <v>214</v>
      </c>
      <c r="B349" s="22">
        <v>951</v>
      </c>
      <c r="C349" s="37" t="s">
        <v>384</v>
      </c>
      <c r="D349" s="37" t="s">
        <v>159</v>
      </c>
      <c r="E349" s="37" t="s">
        <v>82</v>
      </c>
      <c r="F349" s="37" t="s">
        <v>289</v>
      </c>
      <c r="G349" s="85">
        <f t="shared" si="20"/>
        <v>1017.91</v>
      </c>
      <c r="H349" s="85">
        <f>897.91+20+100</f>
        <v>1017.91</v>
      </c>
      <c r="I349" s="85"/>
    </row>
    <row r="350" spans="1:9" ht="43.5" customHeight="1">
      <c r="A350" s="79" t="s">
        <v>936</v>
      </c>
      <c r="B350" s="86" t="s">
        <v>178</v>
      </c>
      <c r="C350" s="80" t="s">
        <v>384</v>
      </c>
      <c r="D350" s="80" t="s">
        <v>159</v>
      </c>
      <c r="E350" s="80" t="s">
        <v>77</v>
      </c>
      <c r="F350" s="80" t="s">
        <v>414</v>
      </c>
      <c r="G350" s="93">
        <f t="shared" si="20"/>
        <v>202.0202</v>
      </c>
      <c r="H350" s="93">
        <f>H354</f>
        <v>2.0202</v>
      </c>
      <c r="I350" s="93">
        <f>I351</f>
        <v>200</v>
      </c>
    </row>
    <row r="351" spans="1:9" ht="55.5" customHeight="1">
      <c r="A351" s="17" t="s">
        <v>937</v>
      </c>
      <c r="B351" s="22" t="s">
        <v>178</v>
      </c>
      <c r="C351" s="37" t="s">
        <v>384</v>
      </c>
      <c r="D351" s="37" t="s">
        <v>159</v>
      </c>
      <c r="E351" s="37" t="s">
        <v>939</v>
      </c>
      <c r="F351" s="37" t="s">
        <v>414</v>
      </c>
      <c r="G351" s="85">
        <f aca="true" t="shared" si="21" ref="G351:G356">H351+I351</f>
        <v>200</v>
      </c>
      <c r="H351" s="85"/>
      <c r="I351" s="85">
        <f>I352</f>
        <v>200</v>
      </c>
    </row>
    <row r="352" spans="1:9" ht="45" customHeight="1">
      <c r="A352" s="17" t="s">
        <v>212</v>
      </c>
      <c r="B352" s="22" t="s">
        <v>178</v>
      </c>
      <c r="C352" s="37" t="s">
        <v>384</v>
      </c>
      <c r="D352" s="37" t="s">
        <v>159</v>
      </c>
      <c r="E352" s="37" t="s">
        <v>939</v>
      </c>
      <c r="F352" s="37" t="s">
        <v>213</v>
      </c>
      <c r="G352" s="85">
        <f t="shared" si="21"/>
        <v>200</v>
      </c>
      <c r="H352" s="85"/>
      <c r="I352" s="85">
        <f>I353</f>
        <v>200</v>
      </c>
    </row>
    <row r="353" spans="1:9" ht="20.25" customHeight="1">
      <c r="A353" s="17" t="s">
        <v>214</v>
      </c>
      <c r="B353" s="22" t="s">
        <v>178</v>
      </c>
      <c r="C353" s="37" t="s">
        <v>384</v>
      </c>
      <c r="D353" s="37" t="s">
        <v>159</v>
      </c>
      <c r="E353" s="37" t="s">
        <v>939</v>
      </c>
      <c r="F353" s="37" t="s">
        <v>289</v>
      </c>
      <c r="G353" s="85">
        <f t="shared" si="21"/>
        <v>200</v>
      </c>
      <c r="H353" s="85"/>
      <c r="I353" s="85">
        <v>200</v>
      </c>
    </row>
    <row r="354" spans="1:9" ht="75.75" customHeight="1">
      <c r="A354" s="17" t="s">
        <v>938</v>
      </c>
      <c r="B354" s="22" t="s">
        <v>178</v>
      </c>
      <c r="C354" s="37" t="s">
        <v>384</v>
      </c>
      <c r="D354" s="37" t="s">
        <v>159</v>
      </c>
      <c r="E354" s="37" t="s">
        <v>940</v>
      </c>
      <c r="F354" s="37" t="s">
        <v>414</v>
      </c>
      <c r="G354" s="85">
        <f t="shared" si="21"/>
        <v>2.0202</v>
      </c>
      <c r="H354" s="85">
        <f>H355</f>
        <v>2.0202</v>
      </c>
      <c r="I354" s="85"/>
    </row>
    <row r="355" spans="1:9" ht="42.75" customHeight="1">
      <c r="A355" s="17" t="s">
        <v>212</v>
      </c>
      <c r="B355" s="22" t="s">
        <v>178</v>
      </c>
      <c r="C355" s="37" t="s">
        <v>384</v>
      </c>
      <c r="D355" s="37" t="s">
        <v>159</v>
      </c>
      <c r="E355" s="37" t="s">
        <v>940</v>
      </c>
      <c r="F355" s="37" t="s">
        <v>213</v>
      </c>
      <c r="G355" s="85">
        <f t="shared" si="21"/>
        <v>2.0202</v>
      </c>
      <c r="H355" s="85">
        <f>H356</f>
        <v>2.0202</v>
      </c>
      <c r="I355" s="85"/>
    </row>
    <row r="356" spans="1:9" ht="21" customHeight="1">
      <c r="A356" s="17" t="s">
        <v>214</v>
      </c>
      <c r="B356" s="22" t="s">
        <v>178</v>
      </c>
      <c r="C356" s="37" t="s">
        <v>384</v>
      </c>
      <c r="D356" s="37" t="s">
        <v>159</v>
      </c>
      <c r="E356" s="37" t="s">
        <v>940</v>
      </c>
      <c r="F356" s="37" t="s">
        <v>289</v>
      </c>
      <c r="G356" s="85">
        <f t="shared" si="21"/>
        <v>2.0202</v>
      </c>
      <c r="H356" s="85">
        <v>2.0202</v>
      </c>
      <c r="I356" s="85"/>
    </row>
    <row r="357" spans="1:9" ht="41.25">
      <c r="A357" s="55" t="s">
        <v>477</v>
      </c>
      <c r="B357" s="74">
        <v>951</v>
      </c>
      <c r="C357" s="59" t="s">
        <v>384</v>
      </c>
      <c r="D357" s="59" t="s">
        <v>159</v>
      </c>
      <c r="E357" s="59" t="s">
        <v>31</v>
      </c>
      <c r="F357" s="59" t="s">
        <v>414</v>
      </c>
      <c r="G357" s="94">
        <f aca="true" t="shared" si="22" ref="G357:G376">H357+I357</f>
        <v>39</v>
      </c>
      <c r="H357" s="94">
        <f>H358</f>
        <v>39</v>
      </c>
      <c r="I357" s="94">
        <f>I358</f>
        <v>0</v>
      </c>
    </row>
    <row r="358" spans="1:9" ht="27">
      <c r="A358" s="17" t="s">
        <v>83</v>
      </c>
      <c r="B358" s="22">
        <v>951</v>
      </c>
      <c r="C358" s="37" t="s">
        <v>384</v>
      </c>
      <c r="D358" s="37" t="s">
        <v>159</v>
      </c>
      <c r="E358" s="37" t="s">
        <v>502</v>
      </c>
      <c r="F358" s="37" t="s">
        <v>414</v>
      </c>
      <c r="G358" s="85">
        <f t="shared" si="22"/>
        <v>39</v>
      </c>
      <c r="H358" s="85">
        <f>H359</f>
        <v>39</v>
      </c>
      <c r="I358" s="85">
        <f>I359</f>
        <v>0</v>
      </c>
    </row>
    <row r="359" spans="1:9" ht="13.5">
      <c r="A359" s="17" t="s">
        <v>214</v>
      </c>
      <c r="B359" s="22">
        <v>951</v>
      </c>
      <c r="C359" s="37" t="s">
        <v>384</v>
      </c>
      <c r="D359" s="37" t="s">
        <v>159</v>
      </c>
      <c r="E359" s="37" t="s">
        <v>84</v>
      </c>
      <c r="F359" s="37" t="s">
        <v>289</v>
      </c>
      <c r="G359" s="85">
        <f t="shared" si="22"/>
        <v>39</v>
      </c>
      <c r="H359" s="85">
        <v>39</v>
      </c>
      <c r="I359" s="85"/>
    </row>
    <row r="360" spans="1:9" ht="54.75">
      <c r="A360" s="55" t="s">
        <v>479</v>
      </c>
      <c r="B360" s="74">
        <v>951</v>
      </c>
      <c r="C360" s="59" t="s">
        <v>384</v>
      </c>
      <c r="D360" s="59" t="s">
        <v>159</v>
      </c>
      <c r="E360" s="59" t="s">
        <v>72</v>
      </c>
      <c r="F360" s="59" t="s">
        <v>414</v>
      </c>
      <c r="G360" s="94">
        <f t="shared" si="22"/>
        <v>2</v>
      </c>
      <c r="H360" s="94">
        <f>H361</f>
        <v>2</v>
      </c>
      <c r="I360" s="94">
        <f>I361</f>
        <v>0</v>
      </c>
    </row>
    <row r="361" spans="1:9" ht="27">
      <c r="A361" s="17" t="s">
        <v>342</v>
      </c>
      <c r="B361" s="22">
        <v>951</v>
      </c>
      <c r="C361" s="37" t="s">
        <v>384</v>
      </c>
      <c r="D361" s="37" t="s">
        <v>159</v>
      </c>
      <c r="E361" s="37" t="s">
        <v>85</v>
      </c>
      <c r="F361" s="37" t="s">
        <v>289</v>
      </c>
      <c r="G361" s="85">
        <f t="shared" si="22"/>
        <v>2</v>
      </c>
      <c r="H361" s="85">
        <v>2</v>
      </c>
      <c r="I361" s="85"/>
    </row>
    <row r="362" spans="1:9" ht="41.25" hidden="1">
      <c r="A362" s="55" t="s">
        <v>287</v>
      </c>
      <c r="B362" s="22">
        <v>952</v>
      </c>
      <c r="C362" s="37" t="s">
        <v>384</v>
      </c>
      <c r="D362" s="37" t="s">
        <v>159</v>
      </c>
      <c r="E362" s="59" t="s">
        <v>41</v>
      </c>
      <c r="F362" s="59" t="s">
        <v>414</v>
      </c>
      <c r="G362" s="94">
        <f t="shared" si="22"/>
        <v>0</v>
      </c>
      <c r="H362" s="94">
        <f>H363</f>
        <v>0</v>
      </c>
      <c r="I362" s="94">
        <f>I363+I364</f>
        <v>0</v>
      </c>
    </row>
    <row r="363" spans="1:9" ht="13.5" hidden="1">
      <c r="A363" s="17" t="s">
        <v>214</v>
      </c>
      <c r="B363" s="22">
        <v>953</v>
      </c>
      <c r="C363" s="37" t="s">
        <v>384</v>
      </c>
      <c r="D363" s="37" t="s">
        <v>159</v>
      </c>
      <c r="E363" s="37" t="s">
        <v>504</v>
      </c>
      <c r="F363" s="37" t="s">
        <v>289</v>
      </c>
      <c r="G363" s="85">
        <f t="shared" si="22"/>
        <v>0</v>
      </c>
      <c r="H363" s="85"/>
      <c r="I363" s="85"/>
    </row>
    <row r="364" spans="1:9" ht="27" hidden="1">
      <c r="A364" s="17" t="s">
        <v>512</v>
      </c>
      <c r="B364" s="22">
        <v>954</v>
      </c>
      <c r="C364" s="37" t="s">
        <v>384</v>
      </c>
      <c r="D364" s="37" t="s">
        <v>159</v>
      </c>
      <c r="E364" s="37" t="s">
        <v>504</v>
      </c>
      <c r="F364" s="37" t="s">
        <v>289</v>
      </c>
      <c r="G364" s="85">
        <f t="shared" si="22"/>
        <v>0</v>
      </c>
      <c r="H364" s="85">
        <v>0</v>
      </c>
      <c r="I364" s="85"/>
    </row>
    <row r="365" spans="1:9" ht="73.5" customHeight="1">
      <c r="A365" s="55" t="s">
        <v>533</v>
      </c>
      <c r="B365" s="74">
        <v>951</v>
      </c>
      <c r="C365" s="59" t="s">
        <v>384</v>
      </c>
      <c r="D365" s="59" t="s">
        <v>159</v>
      </c>
      <c r="E365" s="59" t="s">
        <v>531</v>
      </c>
      <c r="F365" s="59" t="s">
        <v>414</v>
      </c>
      <c r="G365" s="94">
        <f t="shared" si="22"/>
        <v>30.2</v>
      </c>
      <c r="H365" s="94">
        <f>H366</f>
        <v>30.2</v>
      </c>
      <c r="I365" s="94"/>
    </row>
    <row r="366" spans="1:9" ht="42.75" customHeight="1">
      <c r="A366" s="17" t="s">
        <v>212</v>
      </c>
      <c r="B366" s="22">
        <v>951</v>
      </c>
      <c r="C366" s="37" t="s">
        <v>384</v>
      </c>
      <c r="D366" s="37" t="s">
        <v>159</v>
      </c>
      <c r="E366" s="37" t="s">
        <v>900</v>
      </c>
      <c r="F366" s="37" t="s">
        <v>213</v>
      </c>
      <c r="G366" s="85">
        <f t="shared" si="22"/>
        <v>30.2</v>
      </c>
      <c r="H366" s="85">
        <f>H367</f>
        <v>30.2</v>
      </c>
      <c r="I366" s="85"/>
    </row>
    <row r="367" spans="1:9" ht="19.5" customHeight="1">
      <c r="A367" s="17" t="s">
        <v>214</v>
      </c>
      <c r="B367" s="22">
        <v>951</v>
      </c>
      <c r="C367" s="37" t="s">
        <v>384</v>
      </c>
      <c r="D367" s="37" t="s">
        <v>159</v>
      </c>
      <c r="E367" s="37" t="s">
        <v>900</v>
      </c>
      <c r="F367" s="37" t="s">
        <v>289</v>
      </c>
      <c r="G367" s="85">
        <f t="shared" si="22"/>
        <v>30.2</v>
      </c>
      <c r="H367" s="85">
        <v>30.2</v>
      </c>
      <c r="I367" s="85"/>
    </row>
    <row r="368" spans="1:9" ht="19.5" customHeight="1">
      <c r="A368" s="105" t="s">
        <v>230</v>
      </c>
      <c r="B368" s="173">
        <v>951</v>
      </c>
      <c r="C368" s="80" t="s">
        <v>231</v>
      </c>
      <c r="D368" s="80" t="s">
        <v>149</v>
      </c>
      <c r="E368" s="80" t="s">
        <v>322</v>
      </c>
      <c r="F368" s="80" t="s">
        <v>414</v>
      </c>
      <c r="G368" s="123">
        <f t="shared" si="22"/>
        <v>34252.97381999999</v>
      </c>
      <c r="H368" s="123">
        <f>H369+H374+H385</f>
        <v>967.6</v>
      </c>
      <c r="I368" s="123">
        <f>I369+I374+I385</f>
        <v>33285.37381999999</v>
      </c>
    </row>
    <row r="369" spans="1:9" ht="16.5" customHeight="1">
      <c r="A369" s="75" t="s">
        <v>142</v>
      </c>
      <c r="B369" s="87">
        <v>951</v>
      </c>
      <c r="C369" s="73" t="s">
        <v>231</v>
      </c>
      <c r="D369" s="73" t="s">
        <v>148</v>
      </c>
      <c r="E369" s="73" t="s">
        <v>322</v>
      </c>
      <c r="F369" s="73" t="s">
        <v>414</v>
      </c>
      <c r="G369" s="88">
        <f t="shared" si="22"/>
        <v>767.6</v>
      </c>
      <c r="H369" s="88">
        <f aca="true" t="shared" si="23" ref="H369:I372">H370</f>
        <v>767.6</v>
      </c>
      <c r="I369" s="88">
        <f t="shared" si="23"/>
        <v>0</v>
      </c>
    </row>
    <row r="370" spans="1:9" ht="31.5" customHeight="1">
      <c r="A370" s="17" t="s">
        <v>601</v>
      </c>
      <c r="B370" s="22">
        <v>951</v>
      </c>
      <c r="C370" s="37" t="s">
        <v>231</v>
      </c>
      <c r="D370" s="37" t="s">
        <v>148</v>
      </c>
      <c r="E370" s="37" t="s">
        <v>86</v>
      </c>
      <c r="F370" s="37" t="s">
        <v>414</v>
      </c>
      <c r="G370" s="85">
        <f t="shared" si="22"/>
        <v>767.6</v>
      </c>
      <c r="H370" s="85">
        <f t="shared" si="23"/>
        <v>767.6</v>
      </c>
      <c r="I370" s="85">
        <f t="shared" si="23"/>
        <v>0</v>
      </c>
    </row>
    <row r="371" spans="1:9" ht="43.5" customHeight="1">
      <c r="A371" s="17" t="s">
        <v>143</v>
      </c>
      <c r="B371" s="22">
        <v>951</v>
      </c>
      <c r="C371" s="37" t="s">
        <v>231</v>
      </c>
      <c r="D371" s="37" t="s">
        <v>148</v>
      </c>
      <c r="E371" s="37" t="s">
        <v>86</v>
      </c>
      <c r="F371" s="37" t="s">
        <v>414</v>
      </c>
      <c r="G371" s="85">
        <f t="shared" si="22"/>
        <v>767.6</v>
      </c>
      <c r="H371" s="85">
        <f t="shared" si="23"/>
        <v>767.6</v>
      </c>
      <c r="I371" s="85">
        <f t="shared" si="23"/>
        <v>0</v>
      </c>
    </row>
    <row r="372" spans="1:9" ht="27">
      <c r="A372" s="17" t="s">
        <v>203</v>
      </c>
      <c r="B372" s="22">
        <v>951</v>
      </c>
      <c r="C372" s="37" t="s">
        <v>231</v>
      </c>
      <c r="D372" s="37" t="s">
        <v>148</v>
      </c>
      <c r="E372" s="37" t="s">
        <v>86</v>
      </c>
      <c r="F372" s="37" t="s">
        <v>158</v>
      </c>
      <c r="G372" s="85">
        <f t="shared" si="22"/>
        <v>767.6</v>
      </c>
      <c r="H372" s="85">
        <f t="shared" si="23"/>
        <v>767.6</v>
      </c>
      <c r="I372" s="85">
        <f t="shared" si="23"/>
        <v>0</v>
      </c>
    </row>
    <row r="373" spans="1:9" ht="30" customHeight="1">
      <c r="A373" s="17" t="s">
        <v>204</v>
      </c>
      <c r="B373" s="22">
        <v>951</v>
      </c>
      <c r="C373" s="37" t="s">
        <v>231</v>
      </c>
      <c r="D373" s="37" t="s">
        <v>148</v>
      </c>
      <c r="E373" s="37" t="s">
        <v>86</v>
      </c>
      <c r="F373" s="37" t="s">
        <v>205</v>
      </c>
      <c r="G373" s="85">
        <f t="shared" si="22"/>
        <v>767.6</v>
      </c>
      <c r="H373" s="85">
        <f>683+84.6</f>
        <v>767.6</v>
      </c>
      <c r="I373" s="85"/>
    </row>
    <row r="374" spans="1:9" ht="17.25" customHeight="1">
      <c r="A374" s="75" t="s">
        <v>602</v>
      </c>
      <c r="B374" s="87">
        <v>951</v>
      </c>
      <c r="C374" s="73" t="s">
        <v>231</v>
      </c>
      <c r="D374" s="73" t="s">
        <v>155</v>
      </c>
      <c r="E374" s="73" t="s">
        <v>322</v>
      </c>
      <c r="F374" s="73" t="s">
        <v>414</v>
      </c>
      <c r="G374" s="88">
        <f t="shared" si="22"/>
        <v>289.342</v>
      </c>
      <c r="H374" s="88">
        <f>H375+H377</f>
        <v>200</v>
      </c>
      <c r="I374" s="88">
        <f>I375+I380</f>
        <v>89.342</v>
      </c>
    </row>
    <row r="375" spans="1:9" ht="50.25" customHeight="1">
      <c r="A375" s="55" t="s">
        <v>863</v>
      </c>
      <c r="B375" s="22">
        <v>951</v>
      </c>
      <c r="C375" s="59" t="s">
        <v>231</v>
      </c>
      <c r="D375" s="59" t="s">
        <v>155</v>
      </c>
      <c r="E375" s="59" t="s">
        <v>87</v>
      </c>
      <c r="F375" s="59" t="s">
        <v>414</v>
      </c>
      <c r="G375" s="94">
        <f t="shared" si="22"/>
        <v>200</v>
      </c>
      <c r="H375" s="94">
        <f>H376</f>
        <v>200</v>
      </c>
      <c r="I375" s="94">
        <f>I376</f>
        <v>0</v>
      </c>
    </row>
    <row r="376" spans="1:9" ht="29.25" customHeight="1">
      <c r="A376" s="17" t="s">
        <v>206</v>
      </c>
      <c r="B376" s="22">
        <v>951</v>
      </c>
      <c r="C376" s="37" t="s">
        <v>231</v>
      </c>
      <c r="D376" s="37" t="s">
        <v>155</v>
      </c>
      <c r="E376" s="37" t="s">
        <v>88</v>
      </c>
      <c r="F376" s="37" t="s">
        <v>207</v>
      </c>
      <c r="G376" s="85">
        <f t="shared" si="22"/>
        <v>200</v>
      </c>
      <c r="H376" s="85">
        <v>200</v>
      </c>
      <c r="I376" s="85"/>
    </row>
    <row r="377" spans="1:9" ht="17.25" customHeight="1" hidden="1">
      <c r="A377" s="144" t="s">
        <v>549</v>
      </c>
      <c r="B377" s="87">
        <v>952</v>
      </c>
      <c r="C377" s="37" t="s">
        <v>231</v>
      </c>
      <c r="D377" s="37" t="s">
        <v>155</v>
      </c>
      <c r="E377" s="73" t="s">
        <v>322</v>
      </c>
      <c r="F377" s="73" t="s">
        <v>414</v>
      </c>
      <c r="G377" s="88">
        <f>H377</f>
        <v>0</v>
      </c>
      <c r="H377" s="88">
        <f>H378</f>
        <v>0</v>
      </c>
      <c r="I377" s="88"/>
    </row>
    <row r="378" spans="1:9" ht="29.25" customHeight="1" hidden="1">
      <c r="A378" s="17" t="s">
        <v>203</v>
      </c>
      <c r="B378" s="22">
        <v>953</v>
      </c>
      <c r="C378" s="37" t="s">
        <v>231</v>
      </c>
      <c r="D378" s="37" t="s">
        <v>155</v>
      </c>
      <c r="E378" s="37" t="s">
        <v>550</v>
      </c>
      <c r="F378" s="37" t="s">
        <v>158</v>
      </c>
      <c r="G378" s="85">
        <f>H378</f>
        <v>0</v>
      </c>
      <c r="H378" s="85">
        <f>H379</f>
        <v>0</v>
      </c>
      <c r="I378" s="85"/>
    </row>
    <row r="379" spans="1:9" ht="29.25" customHeight="1" hidden="1">
      <c r="A379" s="17" t="s">
        <v>206</v>
      </c>
      <c r="B379" s="22">
        <v>954</v>
      </c>
      <c r="C379" s="37" t="s">
        <v>231</v>
      </c>
      <c r="D379" s="37" t="s">
        <v>155</v>
      </c>
      <c r="E379" s="37" t="s">
        <v>550</v>
      </c>
      <c r="F379" s="37" t="s">
        <v>207</v>
      </c>
      <c r="G379" s="85">
        <f>H379</f>
        <v>0</v>
      </c>
      <c r="H379" s="85"/>
      <c r="I379" s="85"/>
    </row>
    <row r="380" spans="1:9" ht="33.75" customHeight="1">
      <c r="A380" s="17" t="s">
        <v>151</v>
      </c>
      <c r="B380" s="22" t="s">
        <v>178</v>
      </c>
      <c r="C380" s="37" t="s">
        <v>231</v>
      </c>
      <c r="D380" s="37" t="s">
        <v>155</v>
      </c>
      <c r="E380" s="37" t="s">
        <v>322</v>
      </c>
      <c r="F380" s="37" t="s">
        <v>414</v>
      </c>
      <c r="G380" s="85">
        <f>H380+I380</f>
        <v>89.342</v>
      </c>
      <c r="H380" s="85">
        <f aca="true" t="shared" si="24" ref="H380:I383">H381</f>
        <v>0</v>
      </c>
      <c r="I380" s="85">
        <f t="shared" si="24"/>
        <v>89.342</v>
      </c>
    </row>
    <row r="381" spans="1:9" ht="42" customHeight="1">
      <c r="A381" s="17" t="s">
        <v>152</v>
      </c>
      <c r="B381" s="22" t="s">
        <v>178</v>
      </c>
      <c r="C381" s="37" t="s">
        <v>231</v>
      </c>
      <c r="D381" s="37" t="s">
        <v>155</v>
      </c>
      <c r="E381" s="37" t="s">
        <v>322</v>
      </c>
      <c r="F381" s="37" t="s">
        <v>414</v>
      </c>
      <c r="G381" s="85">
        <f>G382</f>
        <v>89.342</v>
      </c>
      <c r="H381" s="85">
        <f t="shared" si="24"/>
        <v>0</v>
      </c>
      <c r="I381" s="85">
        <f t="shared" si="24"/>
        <v>89.342</v>
      </c>
    </row>
    <row r="382" spans="1:9" ht="210" customHeight="1">
      <c r="A382" s="56" t="s">
        <v>961</v>
      </c>
      <c r="B382" s="74" t="s">
        <v>178</v>
      </c>
      <c r="C382" s="59" t="s">
        <v>231</v>
      </c>
      <c r="D382" s="59" t="s">
        <v>155</v>
      </c>
      <c r="E382" s="59" t="s">
        <v>951</v>
      </c>
      <c r="F382" s="59" t="s">
        <v>414</v>
      </c>
      <c r="G382" s="94">
        <f>H382+I382</f>
        <v>89.342</v>
      </c>
      <c r="H382" s="94">
        <f t="shared" si="24"/>
        <v>0</v>
      </c>
      <c r="I382" s="94">
        <f t="shared" si="24"/>
        <v>89.342</v>
      </c>
    </row>
    <row r="383" spans="1:9" ht="18.75" customHeight="1">
      <c r="A383" s="46" t="s">
        <v>194</v>
      </c>
      <c r="B383" s="22" t="s">
        <v>178</v>
      </c>
      <c r="C383" s="37" t="s">
        <v>231</v>
      </c>
      <c r="D383" s="37" t="s">
        <v>155</v>
      </c>
      <c r="E383" s="37" t="s">
        <v>951</v>
      </c>
      <c r="F383" s="37" t="s">
        <v>195</v>
      </c>
      <c r="G383" s="85">
        <f>H383+I383</f>
        <v>89.342</v>
      </c>
      <c r="H383" s="85">
        <f t="shared" si="24"/>
        <v>0</v>
      </c>
      <c r="I383" s="85">
        <f t="shared" si="24"/>
        <v>89.342</v>
      </c>
    </row>
    <row r="384" spans="1:9" ht="29.25" customHeight="1">
      <c r="A384" s="46" t="s">
        <v>960</v>
      </c>
      <c r="B384" s="22" t="s">
        <v>178</v>
      </c>
      <c r="C384" s="37" t="s">
        <v>231</v>
      </c>
      <c r="D384" s="37" t="s">
        <v>155</v>
      </c>
      <c r="E384" s="37" t="s">
        <v>951</v>
      </c>
      <c r="F384" s="37" t="s">
        <v>391</v>
      </c>
      <c r="G384" s="85">
        <f>H384+I384</f>
        <v>89.342</v>
      </c>
      <c r="H384" s="85">
        <v>0</v>
      </c>
      <c r="I384" s="85">
        <v>89.342</v>
      </c>
    </row>
    <row r="385" spans="1:9" ht="19.5" customHeight="1">
      <c r="A385" s="75" t="s">
        <v>407</v>
      </c>
      <c r="B385" s="87">
        <v>951</v>
      </c>
      <c r="C385" s="73" t="s">
        <v>231</v>
      </c>
      <c r="D385" s="73" t="s">
        <v>159</v>
      </c>
      <c r="E385" s="73" t="s">
        <v>322</v>
      </c>
      <c r="F385" s="73" t="s">
        <v>414</v>
      </c>
      <c r="G385" s="88">
        <f>H385+I385</f>
        <v>33196.03182</v>
      </c>
      <c r="H385" s="88">
        <f>H386</f>
        <v>0</v>
      </c>
      <c r="I385" s="88">
        <f>I386</f>
        <v>33196.03182</v>
      </c>
    </row>
    <row r="386" spans="1:11" ht="120.75" customHeight="1">
      <c r="A386" s="75" t="s">
        <v>894</v>
      </c>
      <c r="B386" s="87">
        <v>951</v>
      </c>
      <c r="C386" s="73" t="s">
        <v>231</v>
      </c>
      <c r="D386" s="73" t="s">
        <v>159</v>
      </c>
      <c r="E386" s="73" t="s">
        <v>808</v>
      </c>
      <c r="F386" s="73" t="s">
        <v>414</v>
      </c>
      <c r="G386" s="88">
        <f>H386+I386</f>
        <v>33196.03182</v>
      </c>
      <c r="H386" s="88">
        <f>H387+H392+H398</f>
        <v>0</v>
      </c>
      <c r="I386" s="88">
        <f>I387+I392+I398</f>
        <v>33196.03182</v>
      </c>
      <c r="K386" s="84"/>
    </row>
    <row r="387" spans="1:9" ht="58.5" customHeight="1">
      <c r="A387" s="56" t="s">
        <v>626</v>
      </c>
      <c r="B387" s="74">
        <v>951</v>
      </c>
      <c r="C387" s="59" t="s">
        <v>231</v>
      </c>
      <c r="D387" s="59" t="s">
        <v>159</v>
      </c>
      <c r="E387" s="59" t="s">
        <v>814</v>
      </c>
      <c r="F387" s="59" t="s">
        <v>414</v>
      </c>
      <c r="G387" s="94">
        <f>I387</f>
        <v>21151.92</v>
      </c>
      <c r="H387" s="94"/>
      <c r="I387" s="94">
        <f>I388+I390</f>
        <v>21151.92</v>
      </c>
    </row>
    <row r="388" spans="1:9" ht="33.75" customHeight="1">
      <c r="A388" s="17" t="s">
        <v>189</v>
      </c>
      <c r="B388" s="22" t="s">
        <v>178</v>
      </c>
      <c r="C388" s="37" t="s">
        <v>231</v>
      </c>
      <c r="D388" s="37" t="s">
        <v>159</v>
      </c>
      <c r="E388" s="37" t="s">
        <v>814</v>
      </c>
      <c r="F388" s="37" t="s">
        <v>157</v>
      </c>
      <c r="G388" s="85">
        <f>H388+I388</f>
        <v>213.51999999999998</v>
      </c>
      <c r="H388" s="85"/>
      <c r="I388" s="85">
        <f>I389</f>
        <v>213.51999999999998</v>
      </c>
    </row>
    <row r="389" spans="1:9" ht="45.75" customHeight="1">
      <c r="A389" s="46" t="s">
        <v>190</v>
      </c>
      <c r="B389" s="22" t="s">
        <v>178</v>
      </c>
      <c r="C389" s="37" t="s">
        <v>231</v>
      </c>
      <c r="D389" s="37" t="s">
        <v>159</v>
      </c>
      <c r="E389" s="37" t="s">
        <v>814</v>
      </c>
      <c r="F389" s="37" t="s">
        <v>191</v>
      </c>
      <c r="G389" s="85">
        <f>H389+I389</f>
        <v>213.51999999999998</v>
      </c>
      <c r="H389" s="85"/>
      <c r="I389" s="85">
        <f>383.52-170</f>
        <v>213.51999999999998</v>
      </c>
    </row>
    <row r="390" spans="1:9" ht="42" customHeight="1">
      <c r="A390" s="46" t="s">
        <v>604</v>
      </c>
      <c r="B390" s="22">
        <v>951</v>
      </c>
      <c r="C390" s="37" t="s">
        <v>231</v>
      </c>
      <c r="D390" s="37" t="s">
        <v>159</v>
      </c>
      <c r="E390" s="37" t="s">
        <v>814</v>
      </c>
      <c r="F390" s="37" t="s">
        <v>605</v>
      </c>
      <c r="G390" s="85">
        <f>I390</f>
        <v>20938.399999999998</v>
      </c>
      <c r="H390" s="85"/>
      <c r="I390" s="85">
        <f>I391</f>
        <v>20938.399999999998</v>
      </c>
    </row>
    <row r="391" spans="1:9" ht="16.5" customHeight="1">
      <c r="A391" s="46" t="s">
        <v>606</v>
      </c>
      <c r="B391" s="22">
        <v>951</v>
      </c>
      <c r="C391" s="37" t="s">
        <v>231</v>
      </c>
      <c r="D391" s="37" t="s">
        <v>159</v>
      </c>
      <c r="E391" s="37" t="s">
        <v>814</v>
      </c>
      <c r="F391" s="37" t="s">
        <v>607</v>
      </c>
      <c r="G391" s="85">
        <f>I391</f>
        <v>20938.399999999998</v>
      </c>
      <c r="H391" s="85"/>
      <c r="I391" s="85">
        <f>21118.07693-383.52+170+33.84307</f>
        <v>20938.399999999998</v>
      </c>
    </row>
    <row r="392" spans="1:11" ht="103.5" customHeight="1">
      <c r="A392" s="55" t="s">
        <v>685</v>
      </c>
      <c r="B392" s="22">
        <v>951</v>
      </c>
      <c r="C392" s="37" t="s">
        <v>231</v>
      </c>
      <c r="D392" s="37" t="s">
        <v>159</v>
      </c>
      <c r="E392" s="37" t="s">
        <v>812</v>
      </c>
      <c r="F392" s="59" t="s">
        <v>414</v>
      </c>
      <c r="G392" s="94">
        <f aca="true" t="shared" si="25" ref="G392:G397">H392+I392</f>
        <v>11513.829310000001</v>
      </c>
      <c r="H392" s="94"/>
      <c r="I392" s="94">
        <f>I393+I395</f>
        <v>11513.829310000001</v>
      </c>
      <c r="K392" s="84"/>
    </row>
    <row r="393" spans="1:9" ht="39" customHeight="1">
      <c r="A393" s="17" t="s">
        <v>189</v>
      </c>
      <c r="B393" s="22" t="s">
        <v>178</v>
      </c>
      <c r="C393" s="37" t="s">
        <v>231</v>
      </c>
      <c r="D393" s="37" t="s">
        <v>159</v>
      </c>
      <c r="E393" s="37" t="s">
        <v>812</v>
      </c>
      <c r="F393" s="37" t="s">
        <v>157</v>
      </c>
      <c r="G393" s="85">
        <f>I393</f>
        <v>150</v>
      </c>
      <c r="H393" s="85"/>
      <c r="I393" s="85">
        <f>I394</f>
        <v>150</v>
      </c>
    </row>
    <row r="394" spans="1:9" ht="42.75" customHeight="1">
      <c r="A394" s="46" t="s">
        <v>190</v>
      </c>
      <c r="B394" s="22" t="s">
        <v>178</v>
      </c>
      <c r="C394" s="37" t="s">
        <v>231</v>
      </c>
      <c r="D394" s="37" t="s">
        <v>159</v>
      </c>
      <c r="E394" s="37" t="s">
        <v>812</v>
      </c>
      <c r="F394" s="37" t="s">
        <v>191</v>
      </c>
      <c r="G394" s="85">
        <f>I394</f>
        <v>150</v>
      </c>
      <c r="H394" s="85"/>
      <c r="I394" s="85">
        <v>150</v>
      </c>
    </row>
    <row r="395" spans="1:10" ht="29.25" customHeight="1">
      <c r="A395" s="17" t="s">
        <v>203</v>
      </c>
      <c r="B395" s="22">
        <v>951</v>
      </c>
      <c r="C395" s="37" t="s">
        <v>231</v>
      </c>
      <c r="D395" s="37" t="s">
        <v>159</v>
      </c>
      <c r="E395" s="37" t="s">
        <v>812</v>
      </c>
      <c r="F395" s="37" t="s">
        <v>158</v>
      </c>
      <c r="G395" s="85">
        <f t="shared" si="25"/>
        <v>11363.829310000001</v>
      </c>
      <c r="H395" s="85"/>
      <c r="I395" s="85">
        <f>I396+I397</f>
        <v>11363.829310000001</v>
      </c>
      <c r="J395" s="292"/>
    </row>
    <row r="396" spans="1:10" ht="42" customHeight="1">
      <c r="A396" s="17" t="s">
        <v>204</v>
      </c>
      <c r="B396" s="22" t="s">
        <v>178</v>
      </c>
      <c r="C396" s="37" t="s">
        <v>231</v>
      </c>
      <c r="D396" s="37" t="s">
        <v>159</v>
      </c>
      <c r="E396" s="37" t="s">
        <v>812</v>
      </c>
      <c r="F396" s="37" t="s">
        <v>205</v>
      </c>
      <c r="G396" s="85">
        <f t="shared" si="25"/>
        <v>9202.82256</v>
      </c>
      <c r="H396" s="85"/>
      <c r="I396" s="85">
        <f>10049.63122+600-1788.71266+341.904</f>
        <v>9202.82256</v>
      </c>
      <c r="J396" s="84"/>
    </row>
    <row r="397" spans="1:9" ht="42" customHeight="1">
      <c r="A397" s="17" t="s">
        <v>206</v>
      </c>
      <c r="B397" s="22">
        <v>951</v>
      </c>
      <c r="C397" s="37" t="s">
        <v>231</v>
      </c>
      <c r="D397" s="37" t="s">
        <v>159</v>
      </c>
      <c r="E397" s="37" t="s">
        <v>812</v>
      </c>
      <c r="F397" s="37" t="s">
        <v>207</v>
      </c>
      <c r="G397" s="85">
        <f t="shared" si="25"/>
        <v>2161.00675</v>
      </c>
      <c r="H397" s="85"/>
      <c r="I397" s="85">
        <f>3600+400-1121.904-717.08925</f>
        <v>2161.00675</v>
      </c>
    </row>
    <row r="398" spans="1:11" ht="85.5" customHeight="1">
      <c r="A398" s="55" t="s">
        <v>688</v>
      </c>
      <c r="B398" s="22">
        <v>951</v>
      </c>
      <c r="C398" s="37" t="s">
        <v>231</v>
      </c>
      <c r="D398" s="37" t="s">
        <v>159</v>
      </c>
      <c r="E398" s="37" t="s">
        <v>813</v>
      </c>
      <c r="F398" s="59" t="s">
        <v>414</v>
      </c>
      <c r="G398" s="94">
        <f>H398+I398</f>
        <v>530.28251</v>
      </c>
      <c r="H398" s="94"/>
      <c r="I398" s="94">
        <f>I399+I401</f>
        <v>530.28251</v>
      </c>
      <c r="K398" s="84"/>
    </row>
    <row r="399" spans="1:9" ht="30.75" customHeight="1">
      <c r="A399" s="17" t="s">
        <v>189</v>
      </c>
      <c r="B399" s="22" t="s">
        <v>178</v>
      </c>
      <c r="C399" s="37" t="s">
        <v>231</v>
      </c>
      <c r="D399" s="37" t="s">
        <v>159</v>
      </c>
      <c r="E399" s="37" t="s">
        <v>813</v>
      </c>
      <c r="F399" s="37" t="s">
        <v>157</v>
      </c>
      <c r="G399" s="85">
        <f>I399</f>
        <v>5</v>
      </c>
      <c r="H399" s="85"/>
      <c r="I399" s="85">
        <f>I400</f>
        <v>5</v>
      </c>
    </row>
    <row r="400" spans="1:9" ht="42.75" customHeight="1">
      <c r="A400" s="46" t="s">
        <v>190</v>
      </c>
      <c r="B400" s="22" t="s">
        <v>178</v>
      </c>
      <c r="C400" s="37" t="s">
        <v>231</v>
      </c>
      <c r="D400" s="37" t="s">
        <v>159</v>
      </c>
      <c r="E400" s="37" t="s">
        <v>813</v>
      </c>
      <c r="F400" s="37" t="s">
        <v>191</v>
      </c>
      <c r="G400" s="85">
        <f>I400</f>
        <v>5</v>
      </c>
      <c r="H400" s="85"/>
      <c r="I400" s="85">
        <v>5</v>
      </c>
    </row>
    <row r="401" spans="1:9" ht="29.25" customHeight="1">
      <c r="A401" s="17" t="s">
        <v>203</v>
      </c>
      <c r="B401" s="22">
        <v>951</v>
      </c>
      <c r="C401" s="37" t="s">
        <v>231</v>
      </c>
      <c r="D401" s="37" t="s">
        <v>159</v>
      </c>
      <c r="E401" s="37" t="s">
        <v>813</v>
      </c>
      <c r="F401" s="37" t="s">
        <v>158</v>
      </c>
      <c r="G401" s="85">
        <f aca="true" t="shared" si="26" ref="G401:G409">H401+I401</f>
        <v>525.28251</v>
      </c>
      <c r="H401" s="85"/>
      <c r="I401" s="85">
        <f>I402</f>
        <v>525.28251</v>
      </c>
    </row>
    <row r="402" spans="1:9" ht="29.25" customHeight="1">
      <c r="A402" s="17" t="s">
        <v>204</v>
      </c>
      <c r="B402" s="22">
        <v>951</v>
      </c>
      <c r="C402" s="37" t="s">
        <v>231</v>
      </c>
      <c r="D402" s="37" t="s">
        <v>159</v>
      </c>
      <c r="E402" s="37" t="s">
        <v>813</v>
      </c>
      <c r="F402" s="37" t="s">
        <v>205</v>
      </c>
      <c r="G402" s="85">
        <f t="shared" si="26"/>
        <v>525.28251</v>
      </c>
      <c r="H402" s="85"/>
      <c r="I402" s="85">
        <f>530.28251-5</f>
        <v>525.28251</v>
      </c>
    </row>
    <row r="403" spans="1:9" ht="13.5">
      <c r="A403" s="79" t="s">
        <v>234</v>
      </c>
      <c r="B403" s="173">
        <v>951</v>
      </c>
      <c r="C403" s="80" t="s">
        <v>166</v>
      </c>
      <c r="D403" s="80" t="s">
        <v>149</v>
      </c>
      <c r="E403" s="80" t="s">
        <v>322</v>
      </c>
      <c r="F403" s="80" t="s">
        <v>414</v>
      </c>
      <c r="G403" s="123">
        <f t="shared" si="26"/>
        <v>963</v>
      </c>
      <c r="H403" s="93">
        <f>H404</f>
        <v>963</v>
      </c>
      <c r="I403" s="93">
        <f aca="true" t="shared" si="27" ref="H403:I407">I404</f>
        <v>0</v>
      </c>
    </row>
    <row r="404" spans="1:9" ht="13.5">
      <c r="A404" s="17" t="s">
        <v>348</v>
      </c>
      <c r="B404" s="22">
        <v>951</v>
      </c>
      <c r="C404" s="37" t="s">
        <v>166</v>
      </c>
      <c r="D404" s="37" t="s">
        <v>150</v>
      </c>
      <c r="E404" s="37" t="s">
        <v>322</v>
      </c>
      <c r="F404" s="37" t="s">
        <v>414</v>
      </c>
      <c r="G404" s="85">
        <f t="shared" si="26"/>
        <v>963</v>
      </c>
      <c r="H404" s="85">
        <f t="shared" si="27"/>
        <v>963</v>
      </c>
      <c r="I404" s="85">
        <f t="shared" si="27"/>
        <v>0</v>
      </c>
    </row>
    <row r="405" spans="1:9" ht="43.5" customHeight="1">
      <c r="A405" s="55" t="s">
        <v>483</v>
      </c>
      <c r="B405" s="74">
        <v>951</v>
      </c>
      <c r="C405" s="59" t="s">
        <v>166</v>
      </c>
      <c r="D405" s="59" t="s">
        <v>150</v>
      </c>
      <c r="E405" s="59" t="s">
        <v>91</v>
      </c>
      <c r="F405" s="59" t="s">
        <v>414</v>
      </c>
      <c r="G405" s="94">
        <f t="shared" si="26"/>
        <v>963</v>
      </c>
      <c r="H405" s="94">
        <f>H406+H409+H420+H423</f>
        <v>963</v>
      </c>
      <c r="I405" s="94">
        <f>I406+I409+I423</f>
        <v>0</v>
      </c>
    </row>
    <row r="406" spans="1:9" ht="30.75" customHeight="1">
      <c r="A406" s="17" t="s">
        <v>235</v>
      </c>
      <c r="B406" s="22">
        <v>951</v>
      </c>
      <c r="C406" s="37" t="s">
        <v>166</v>
      </c>
      <c r="D406" s="37" t="s">
        <v>150</v>
      </c>
      <c r="E406" s="37" t="s">
        <v>92</v>
      </c>
      <c r="F406" s="37" t="s">
        <v>414</v>
      </c>
      <c r="G406" s="85">
        <f t="shared" si="26"/>
        <v>609</v>
      </c>
      <c r="H406" s="85">
        <f t="shared" si="27"/>
        <v>609</v>
      </c>
      <c r="I406" s="85">
        <f t="shared" si="27"/>
        <v>0</v>
      </c>
    </row>
    <row r="407" spans="1:9" ht="30" customHeight="1">
      <c r="A407" s="17" t="s">
        <v>189</v>
      </c>
      <c r="B407" s="22">
        <v>951</v>
      </c>
      <c r="C407" s="37" t="s">
        <v>166</v>
      </c>
      <c r="D407" s="37" t="s">
        <v>150</v>
      </c>
      <c r="E407" s="37" t="s">
        <v>92</v>
      </c>
      <c r="F407" s="37" t="s">
        <v>157</v>
      </c>
      <c r="G407" s="85">
        <f t="shared" si="26"/>
        <v>609</v>
      </c>
      <c r="H407" s="85">
        <f t="shared" si="27"/>
        <v>609</v>
      </c>
      <c r="I407" s="85">
        <f t="shared" si="27"/>
        <v>0</v>
      </c>
    </row>
    <row r="408" spans="1:9" ht="41.25">
      <c r="A408" s="46" t="s">
        <v>190</v>
      </c>
      <c r="B408" s="22">
        <v>951</v>
      </c>
      <c r="C408" s="37" t="s">
        <v>166</v>
      </c>
      <c r="D408" s="37" t="s">
        <v>150</v>
      </c>
      <c r="E408" s="37" t="s">
        <v>92</v>
      </c>
      <c r="F408" s="37" t="s">
        <v>191</v>
      </c>
      <c r="G408" s="85">
        <f t="shared" si="26"/>
        <v>609</v>
      </c>
      <c r="H408" s="85">
        <f>150+156.8+130+145.22+26.98</f>
        <v>609</v>
      </c>
      <c r="I408" s="85"/>
    </row>
    <row r="409" spans="1:9" ht="41.25" hidden="1">
      <c r="A409" s="82" t="s">
        <v>608</v>
      </c>
      <c r="B409" s="22">
        <v>951</v>
      </c>
      <c r="C409" s="80" t="s">
        <v>166</v>
      </c>
      <c r="D409" s="80" t="s">
        <v>150</v>
      </c>
      <c r="E409" s="80" t="s">
        <v>91</v>
      </c>
      <c r="F409" s="80" t="s">
        <v>414</v>
      </c>
      <c r="G409" s="93">
        <f t="shared" si="26"/>
        <v>0</v>
      </c>
      <c r="H409" s="93">
        <f>H415</f>
        <v>0</v>
      </c>
      <c r="I409" s="93">
        <f>I410</f>
        <v>0</v>
      </c>
    </row>
    <row r="410" spans="1:9" ht="69.75" hidden="1">
      <c r="A410" s="56" t="s">
        <v>627</v>
      </c>
      <c r="B410" s="22">
        <v>951</v>
      </c>
      <c r="C410" s="59" t="s">
        <v>166</v>
      </c>
      <c r="D410" s="59" t="s">
        <v>150</v>
      </c>
      <c r="E410" s="59" t="s">
        <v>609</v>
      </c>
      <c r="F410" s="59" t="s">
        <v>414</v>
      </c>
      <c r="G410" s="94">
        <f>I410</f>
        <v>0</v>
      </c>
      <c r="H410" s="94"/>
      <c r="I410" s="94">
        <f>I411+I413</f>
        <v>0</v>
      </c>
    </row>
    <row r="411" spans="1:9" ht="41.25" hidden="1">
      <c r="A411" s="46" t="s">
        <v>604</v>
      </c>
      <c r="B411" s="22">
        <v>951</v>
      </c>
      <c r="C411" s="37" t="s">
        <v>166</v>
      </c>
      <c r="D411" s="37" t="s">
        <v>150</v>
      </c>
      <c r="E411" s="37" t="s">
        <v>609</v>
      </c>
      <c r="F411" s="37" t="s">
        <v>605</v>
      </c>
      <c r="G411" s="85">
        <f>I411</f>
        <v>0</v>
      </c>
      <c r="H411" s="85"/>
      <c r="I411" s="85">
        <f>I412</f>
        <v>0</v>
      </c>
    </row>
    <row r="412" spans="1:9" ht="13.5" hidden="1">
      <c r="A412" s="46" t="s">
        <v>606</v>
      </c>
      <c r="B412" s="22">
        <v>951</v>
      </c>
      <c r="C412" s="37" t="s">
        <v>166</v>
      </c>
      <c r="D412" s="37" t="s">
        <v>150</v>
      </c>
      <c r="E412" s="37" t="s">
        <v>609</v>
      </c>
      <c r="F412" s="37" t="s">
        <v>607</v>
      </c>
      <c r="G412" s="85">
        <f>I412</f>
        <v>0</v>
      </c>
      <c r="H412" s="85"/>
      <c r="I412" s="85">
        <v>0</v>
      </c>
    </row>
    <row r="413" spans="1:9" ht="41.25" hidden="1">
      <c r="A413" s="17" t="s">
        <v>610</v>
      </c>
      <c r="B413" s="22">
        <v>952</v>
      </c>
      <c r="C413" s="37" t="s">
        <v>166</v>
      </c>
      <c r="D413" s="37" t="s">
        <v>150</v>
      </c>
      <c r="E413" s="37" t="s">
        <v>609</v>
      </c>
      <c r="F413" s="37" t="s">
        <v>213</v>
      </c>
      <c r="G413" s="85">
        <f>I413</f>
        <v>0</v>
      </c>
      <c r="H413" s="85"/>
      <c r="I413" s="85">
        <f>I414</f>
        <v>0</v>
      </c>
    </row>
    <row r="414" spans="1:9" ht="15.75" customHeight="1" hidden="1">
      <c r="A414" s="17" t="s">
        <v>177</v>
      </c>
      <c r="B414" s="22">
        <v>953</v>
      </c>
      <c r="C414" s="37" t="s">
        <v>166</v>
      </c>
      <c r="D414" s="37" t="s">
        <v>150</v>
      </c>
      <c r="E414" s="37" t="s">
        <v>609</v>
      </c>
      <c r="F414" s="37" t="s">
        <v>289</v>
      </c>
      <c r="G414" s="85">
        <f>I414</f>
        <v>0</v>
      </c>
      <c r="H414" s="85"/>
      <c r="I414" s="85">
        <v>0</v>
      </c>
    </row>
    <row r="415" spans="1:9" ht="87" customHeight="1" hidden="1">
      <c r="A415" s="56" t="s">
        <v>628</v>
      </c>
      <c r="B415" s="22">
        <v>951</v>
      </c>
      <c r="C415" s="59" t="s">
        <v>166</v>
      </c>
      <c r="D415" s="59" t="s">
        <v>150</v>
      </c>
      <c r="E415" s="59" t="s">
        <v>611</v>
      </c>
      <c r="F415" s="59" t="s">
        <v>414</v>
      </c>
      <c r="G415" s="94">
        <f>H415</f>
        <v>0</v>
      </c>
      <c r="H415" s="94">
        <f>H416+H418</f>
        <v>0</v>
      </c>
      <c r="I415" s="94"/>
    </row>
    <row r="416" spans="1:9" ht="41.25" hidden="1">
      <c r="A416" s="46" t="s">
        <v>604</v>
      </c>
      <c r="B416" s="22">
        <v>951</v>
      </c>
      <c r="C416" s="37" t="s">
        <v>166</v>
      </c>
      <c r="D416" s="37" t="s">
        <v>150</v>
      </c>
      <c r="E416" s="37" t="s">
        <v>611</v>
      </c>
      <c r="F416" s="37" t="s">
        <v>605</v>
      </c>
      <c r="G416" s="85">
        <f>H416</f>
        <v>0</v>
      </c>
      <c r="H416" s="85">
        <f>H417</f>
        <v>0</v>
      </c>
      <c r="I416" s="85"/>
    </row>
    <row r="417" spans="1:9" ht="13.5" hidden="1">
      <c r="A417" s="46" t="s">
        <v>606</v>
      </c>
      <c r="B417" s="22">
        <v>951</v>
      </c>
      <c r="C417" s="37" t="s">
        <v>166</v>
      </c>
      <c r="D417" s="37" t="s">
        <v>150</v>
      </c>
      <c r="E417" s="37" t="s">
        <v>611</v>
      </c>
      <c r="F417" s="37" t="s">
        <v>607</v>
      </c>
      <c r="G417" s="85">
        <f>H417</f>
        <v>0</v>
      </c>
      <c r="H417" s="85">
        <f>43+43+40-40-86</f>
        <v>0</v>
      </c>
      <c r="I417" s="85"/>
    </row>
    <row r="418" spans="1:9" ht="42" customHeight="1" hidden="1">
      <c r="A418" s="17" t="s">
        <v>610</v>
      </c>
      <c r="B418" s="22">
        <v>952</v>
      </c>
      <c r="C418" s="37" t="s">
        <v>166</v>
      </c>
      <c r="D418" s="37" t="s">
        <v>150</v>
      </c>
      <c r="E418" s="37" t="s">
        <v>611</v>
      </c>
      <c r="F418" s="37" t="s">
        <v>213</v>
      </c>
      <c r="G418" s="85">
        <f>H418</f>
        <v>0</v>
      </c>
      <c r="H418" s="85">
        <f>H419</f>
        <v>0</v>
      </c>
      <c r="I418" s="85"/>
    </row>
    <row r="419" spans="1:9" ht="15" customHeight="1" hidden="1">
      <c r="A419" s="17" t="s">
        <v>177</v>
      </c>
      <c r="B419" s="22">
        <v>953</v>
      </c>
      <c r="C419" s="37" t="s">
        <v>166</v>
      </c>
      <c r="D419" s="37" t="s">
        <v>150</v>
      </c>
      <c r="E419" s="37" t="s">
        <v>611</v>
      </c>
      <c r="F419" s="37" t="s">
        <v>289</v>
      </c>
      <c r="G419" s="85">
        <f>H419</f>
        <v>0</v>
      </c>
      <c r="H419" s="85">
        <v>0</v>
      </c>
      <c r="I419" s="85"/>
    </row>
    <row r="420" spans="1:9" ht="45" customHeight="1">
      <c r="A420" s="55" t="s">
        <v>770</v>
      </c>
      <c r="B420" s="74">
        <v>951</v>
      </c>
      <c r="C420" s="59" t="s">
        <v>166</v>
      </c>
      <c r="D420" s="59" t="s">
        <v>150</v>
      </c>
      <c r="E420" s="59" t="s">
        <v>766</v>
      </c>
      <c r="F420" s="59" t="s">
        <v>414</v>
      </c>
      <c r="G420" s="94">
        <f>H420+I420</f>
        <v>354</v>
      </c>
      <c r="H420" s="94">
        <f>H421</f>
        <v>354</v>
      </c>
      <c r="I420" s="85"/>
    </row>
    <row r="421" spans="1:9" ht="30" customHeight="1">
      <c r="A421" s="17" t="s">
        <v>189</v>
      </c>
      <c r="B421" s="22">
        <v>951</v>
      </c>
      <c r="C421" s="37" t="s">
        <v>166</v>
      </c>
      <c r="D421" s="37" t="s">
        <v>150</v>
      </c>
      <c r="E421" s="37" t="s">
        <v>766</v>
      </c>
      <c r="F421" s="37" t="s">
        <v>157</v>
      </c>
      <c r="G421" s="85">
        <f>H421+I421</f>
        <v>354</v>
      </c>
      <c r="H421" s="85">
        <f>H422</f>
        <v>354</v>
      </c>
      <c r="I421" s="85"/>
    </row>
    <row r="422" spans="1:9" ht="42" customHeight="1">
      <c r="A422" s="46" t="s">
        <v>190</v>
      </c>
      <c r="B422" s="22">
        <v>951</v>
      </c>
      <c r="C422" s="37" t="s">
        <v>166</v>
      </c>
      <c r="D422" s="37" t="s">
        <v>150</v>
      </c>
      <c r="E422" s="37" t="s">
        <v>766</v>
      </c>
      <c r="F422" s="37" t="s">
        <v>191</v>
      </c>
      <c r="G422" s="85">
        <f>H422+I422</f>
        <v>354</v>
      </c>
      <c r="H422" s="85">
        <f>375+212+40-373+100</f>
        <v>354</v>
      </c>
      <c r="I422" s="85"/>
    </row>
    <row r="423" spans="1:9" ht="56.25" customHeight="1" hidden="1">
      <c r="A423" s="79" t="s">
        <v>771</v>
      </c>
      <c r="B423" s="22">
        <v>951</v>
      </c>
      <c r="C423" s="37" t="s">
        <v>166</v>
      </c>
      <c r="D423" s="37" t="s">
        <v>150</v>
      </c>
      <c r="E423" s="80" t="s">
        <v>91</v>
      </c>
      <c r="F423" s="80" t="s">
        <v>414</v>
      </c>
      <c r="G423" s="93">
        <f>H423+I423</f>
        <v>0</v>
      </c>
      <c r="H423" s="93">
        <f>H427</f>
        <v>0</v>
      </c>
      <c r="I423" s="93">
        <f>I424</f>
        <v>0</v>
      </c>
    </row>
    <row r="424" spans="1:9" ht="81.75" customHeight="1" hidden="1">
      <c r="A424" s="56" t="s">
        <v>777</v>
      </c>
      <c r="B424" s="22">
        <v>951</v>
      </c>
      <c r="C424" s="37" t="s">
        <v>166</v>
      </c>
      <c r="D424" s="37" t="s">
        <v>150</v>
      </c>
      <c r="E424" s="59" t="s">
        <v>772</v>
      </c>
      <c r="F424" s="59" t="s">
        <v>414</v>
      </c>
      <c r="G424" s="94">
        <f aca="true" t="shared" si="28" ref="G424:G429">H424+I424</f>
        <v>0</v>
      </c>
      <c r="H424" s="94"/>
      <c r="I424" s="94">
        <f>I425</f>
        <v>0</v>
      </c>
    </row>
    <row r="425" spans="1:9" ht="27.75" customHeight="1" hidden="1">
      <c r="A425" s="17" t="s">
        <v>189</v>
      </c>
      <c r="B425" s="22">
        <v>951</v>
      </c>
      <c r="C425" s="37" t="s">
        <v>166</v>
      </c>
      <c r="D425" s="37" t="s">
        <v>150</v>
      </c>
      <c r="E425" s="37" t="s">
        <v>772</v>
      </c>
      <c r="F425" s="37" t="s">
        <v>157</v>
      </c>
      <c r="G425" s="85">
        <f t="shared" si="28"/>
        <v>0</v>
      </c>
      <c r="H425" s="85"/>
      <c r="I425" s="85">
        <f>I426</f>
        <v>0</v>
      </c>
    </row>
    <row r="426" spans="1:9" ht="41.25" customHeight="1" hidden="1">
      <c r="A426" s="46" t="s">
        <v>190</v>
      </c>
      <c r="B426" s="22">
        <v>951</v>
      </c>
      <c r="C426" s="37" t="s">
        <v>166</v>
      </c>
      <c r="D426" s="37" t="s">
        <v>150</v>
      </c>
      <c r="E426" s="37" t="s">
        <v>772</v>
      </c>
      <c r="F426" s="37" t="s">
        <v>191</v>
      </c>
      <c r="G426" s="85">
        <f t="shared" si="28"/>
        <v>0</v>
      </c>
      <c r="H426" s="85"/>
      <c r="I426" s="85">
        <v>0</v>
      </c>
    </row>
    <row r="427" spans="1:9" ht="82.5" customHeight="1" hidden="1">
      <c r="A427" s="55" t="s">
        <v>774</v>
      </c>
      <c r="B427" s="22">
        <v>951</v>
      </c>
      <c r="C427" s="37" t="s">
        <v>166</v>
      </c>
      <c r="D427" s="37" t="s">
        <v>150</v>
      </c>
      <c r="E427" s="59" t="s">
        <v>775</v>
      </c>
      <c r="F427" s="59" t="s">
        <v>414</v>
      </c>
      <c r="G427" s="94">
        <f t="shared" si="28"/>
        <v>0</v>
      </c>
      <c r="H427" s="94">
        <f>H428</f>
        <v>0</v>
      </c>
      <c r="I427" s="94"/>
    </row>
    <row r="428" spans="1:9" ht="30" customHeight="1" hidden="1">
      <c r="A428" s="17" t="s">
        <v>189</v>
      </c>
      <c r="B428" s="22">
        <v>951</v>
      </c>
      <c r="C428" s="37" t="s">
        <v>166</v>
      </c>
      <c r="D428" s="37" t="s">
        <v>150</v>
      </c>
      <c r="E428" s="37" t="s">
        <v>775</v>
      </c>
      <c r="F428" s="37" t="s">
        <v>157</v>
      </c>
      <c r="G428" s="85">
        <f t="shared" si="28"/>
        <v>0</v>
      </c>
      <c r="H428" s="85">
        <f>H429</f>
        <v>0</v>
      </c>
      <c r="I428" s="85"/>
    </row>
    <row r="429" spans="1:9" ht="40.5" customHeight="1" hidden="1">
      <c r="A429" s="46" t="s">
        <v>190</v>
      </c>
      <c r="B429" s="22">
        <v>951</v>
      </c>
      <c r="C429" s="37" t="s">
        <v>166</v>
      </c>
      <c r="D429" s="37" t="s">
        <v>150</v>
      </c>
      <c r="E429" s="37" t="s">
        <v>775</v>
      </c>
      <c r="F429" s="37" t="s">
        <v>191</v>
      </c>
      <c r="G429" s="85">
        <f t="shared" si="28"/>
        <v>0</v>
      </c>
      <c r="H429" s="85">
        <v>0</v>
      </c>
      <c r="I429" s="85"/>
    </row>
    <row r="430" spans="1:9" ht="45.75" customHeight="1">
      <c r="A430" s="79" t="s">
        <v>236</v>
      </c>
      <c r="B430" s="173">
        <v>951</v>
      </c>
      <c r="C430" s="80" t="s">
        <v>168</v>
      </c>
      <c r="D430" s="80" t="s">
        <v>149</v>
      </c>
      <c r="E430" s="80" t="s">
        <v>322</v>
      </c>
      <c r="F430" s="80" t="s">
        <v>414</v>
      </c>
      <c r="G430" s="123">
        <f aca="true" t="shared" si="29" ref="G430:G469">H430+I430</f>
        <v>801.73</v>
      </c>
      <c r="H430" s="93">
        <f aca="true" t="shared" si="30" ref="H430:I434">H431</f>
        <v>801.73</v>
      </c>
      <c r="I430" s="93">
        <f t="shared" si="30"/>
        <v>0</v>
      </c>
    </row>
    <row r="431" spans="1:9" ht="69">
      <c r="A431" s="55" t="s">
        <v>552</v>
      </c>
      <c r="B431" s="77">
        <v>951</v>
      </c>
      <c r="C431" s="37" t="s">
        <v>168</v>
      </c>
      <c r="D431" s="37" t="s">
        <v>148</v>
      </c>
      <c r="E431" s="37" t="s">
        <v>322</v>
      </c>
      <c r="F431" s="37" t="s">
        <v>414</v>
      </c>
      <c r="G431" s="85">
        <f t="shared" si="29"/>
        <v>801.73</v>
      </c>
      <c r="H431" s="110">
        <f t="shared" si="30"/>
        <v>801.73</v>
      </c>
      <c r="I431" s="110">
        <f t="shared" si="30"/>
        <v>0</v>
      </c>
    </row>
    <row r="432" spans="1:9" ht="27">
      <c r="A432" s="17" t="s">
        <v>359</v>
      </c>
      <c r="B432" s="77">
        <v>951</v>
      </c>
      <c r="C432" s="37" t="s">
        <v>168</v>
      </c>
      <c r="D432" s="37" t="s">
        <v>148</v>
      </c>
      <c r="E432" s="37" t="s">
        <v>529</v>
      </c>
      <c r="F432" s="37" t="s">
        <v>414</v>
      </c>
      <c r="G432" s="85">
        <f t="shared" si="29"/>
        <v>801.73</v>
      </c>
      <c r="H432" s="110">
        <f t="shared" si="30"/>
        <v>801.73</v>
      </c>
      <c r="I432" s="110">
        <f t="shared" si="30"/>
        <v>0</v>
      </c>
    </row>
    <row r="433" spans="1:9" ht="13.5">
      <c r="A433" s="17" t="s">
        <v>237</v>
      </c>
      <c r="B433" s="77">
        <v>951</v>
      </c>
      <c r="C433" s="37" t="s">
        <v>168</v>
      </c>
      <c r="D433" s="37" t="s">
        <v>148</v>
      </c>
      <c r="E433" s="37" t="s">
        <v>529</v>
      </c>
      <c r="F433" s="37" t="s">
        <v>414</v>
      </c>
      <c r="G433" s="85">
        <f t="shared" si="29"/>
        <v>801.73</v>
      </c>
      <c r="H433" s="110">
        <f t="shared" si="30"/>
        <v>801.73</v>
      </c>
      <c r="I433" s="110">
        <f t="shared" si="30"/>
        <v>0</v>
      </c>
    </row>
    <row r="434" spans="1:9" ht="27">
      <c r="A434" s="17" t="s">
        <v>208</v>
      </c>
      <c r="B434" s="77">
        <v>951</v>
      </c>
      <c r="C434" s="37" t="s">
        <v>168</v>
      </c>
      <c r="D434" s="37" t="s">
        <v>148</v>
      </c>
      <c r="E434" s="37" t="s">
        <v>529</v>
      </c>
      <c r="F434" s="37" t="s">
        <v>209</v>
      </c>
      <c r="G434" s="85">
        <f t="shared" si="29"/>
        <v>801.73</v>
      </c>
      <c r="H434" s="110">
        <f t="shared" si="30"/>
        <v>801.73</v>
      </c>
      <c r="I434" s="110">
        <f t="shared" si="30"/>
        <v>0</v>
      </c>
    </row>
    <row r="435" spans="1:9" ht="13.5">
      <c r="A435" s="17" t="s">
        <v>238</v>
      </c>
      <c r="B435" s="77">
        <v>951</v>
      </c>
      <c r="C435" s="37" t="s">
        <v>168</v>
      </c>
      <c r="D435" s="37" t="s">
        <v>148</v>
      </c>
      <c r="E435" s="37" t="s">
        <v>529</v>
      </c>
      <c r="F435" s="37" t="s">
        <v>335</v>
      </c>
      <c r="G435" s="85">
        <f t="shared" si="29"/>
        <v>801.73</v>
      </c>
      <c r="H435" s="110">
        <f>1090-288.27</f>
        <v>801.73</v>
      </c>
      <c r="I435" s="110"/>
    </row>
    <row r="436" spans="1:11" ht="30" customHeight="1">
      <c r="A436" s="240" t="s">
        <v>402</v>
      </c>
      <c r="B436" s="173" t="s">
        <v>415</v>
      </c>
      <c r="C436" s="173" t="s">
        <v>149</v>
      </c>
      <c r="D436" s="173" t="s">
        <v>149</v>
      </c>
      <c r="E436" s="173" t="s">
        <v>322</v>
      </c>
      <c r="F436" s="173" t="s">
        <v>414</v>
      </c>
      <c r="G436" s="93">
        <f t="shared" si="29"/>
        <v>3847.8</v>
      </c>
      <c r="H436" s="123">
        <f>H437</f>
        <v>3847.8</v>
      </c>
      <c r="I436" s="123">
        <f aca="true" t="shared" si="31" ref="H436:I438">I437</f>
        <v>0</v>
      </c>
      <c r="K436" s="84"/>
    </row>
    <row r="437" spans="1:9" ht="54.75">
      <c r="A437" s="17" t="s">
        <v>154</v>
      </c>
      <c r="B437" s="77" t="s">
        <v>415</v>
      </c>
      <c r="C437" s="37" t="s">
        <v>148</v>
      </c>
      <c r="D437" s="37" t="s">
        <v>155</v>
      </c>
      <c r="E437" s="37" t="s">
        <v>322</v>
      </c>
      <c r="F437" s="37" t="s">
        <v>414</v>
      </c>
      <c r="G437" s="85">
        <f t="shared" si="29"/>
        <v>3847.8</v>
      </c>
      <c r="H437" s="85">
        <f t="shared" si="31"/>
        <v>3847.8</v>
      </c>
      <c r="I437" s="85">
        <f t="shared" si="31"/>
        <v>0</v>
      </c>
    </row>
    <row r="438" spans="1:9" ht="27">
      <c r="A438" s="17" t="s">
        <v>151</v>
      </c>
      <c r="B438" s="77" t="s">
        <v>415</v>
      </c>
      <c r="C438" s="37" t="s">
        <v>148</v>
      </c>
      <c r="D438" s="37" t="s">
        <v>155</v>
      </c>
      <c r="E438" s="37" t="s">
        <v>10</v>
      </c>
      <c r="F438" s="37" t="s">
        <v>414</v>
      </c>
      <c r="G438" s="85">
        <f t="shared" si="29"/>
        <v>3847.8</v>
      </c>
      <c r="H438" s="110">
        <f t="shared" si="31"/>
        <v>3847.8</v>
      </c>
      <c r="I438" s="110">
        <f t="shared" si="31"/>
        <v>0</v>
      </c>
    </row>
    <row r="439" spans="1:9" ht="41.25">
      <c r="A439" s="17" t="s">
        <v>152</v>
      </c>
      <c r="B439" s="77" t="s">
        <v>415</v>
      </c>
      <c r="C439" s="37" t="s">
        <v>148</v>
      </c>
      <c r="D439" s="37" t="s">
        <v>155</v>
      </c>
      <c r="E439" s="37" t="s">
        <v>11</v>
      </c>
      <c r="F439" s="37" t="s">
        <v>414</v>
      </c>
      <c r="G439" s="85">
        <f t="shared" si="29"/>
        <v>3847.8</v>
      </c>
      <c r="H439" s="110">
        <f>H445+H440</f>
        <v>3847.8</v>
      </c>
      <c r="I439" s="110">
        <f>I445</f>
        <v>0</v>
      </c>
    </row>
    <row r="440" spans="1:9" ht="27">
      <c r="A440" s="17" t="s">
        <v>181</v>
      </c>
      <c r="B440" s="77" t="s">
        <v>415</v>
      </c>
      <c r="C440" s="37" t="s">
        <v>148</v>
      </c>
      <c r="D440" s="37" t="s">
        <v>155</v>
      </c>
      <c r="E440" s="37" t="s">
        <v>13</v>
      </c>
      <c r="F440" s="37" t="s">
        <v>414</v>
      </c>
      <c r="G440" s="85">
        <f t="shared" si="29"/>
        <v>1683</v>
      </c>
      <c r="H440" s="110">
        <f>H441+H443</f>
        <v>1683</v>
      </c>
      <c r="I440" s="110">
        <f>I441+I443</f>
        <v>0</v>
      </c>
    </row>
    <row r="441" spans="1:9" ht="87" customHeight="1">
      <c r="A441" s="17" t="s">
        <v>186</v>
      </c>
      <c r="B441" s="77" t="s">
        <v>415</v>
      </c>
      <c r="C441" s="37" t="s">
        <v>148</v>
      </c>
      <c r="D441" s="37" t="s">
        <v>155</v>
      </c>
      <c r="E441" s="37" t="s">
        <v>13</v>
      </c>
      <c r="F441" s="37" t="s">
        <v>153</v>
      </c>
      <c r="G441" s="85">
        <f t="shared" si="29"/>
        <v>1668</v>
      </c>
      <c r="H441" s="110">
        <f>H442</f>
        <v>1668</v>
      </c>
      <c r="I441" s="110">
        <v>0</v>
      </c>
    </row>
    <row r="442" spans="1:9" ht="33" customHeight="1">
      <c r="A442" s="17" t="s">
        <v>188</v>
      </c>
      <c r="B442" s="77" t="s">
        <v>415</v>
      </c>
      <c r="C442" s="37" t="s">
        <v>148</v>
      </c>
      <c r="D442" s="37" t="s">
        <v>155</v>
      </c>
      <c r="E442" s="37" t="s">
        <v>13</v>
      </c>
      <c r="F442" s="37" t="s">
        <v>187</v>
      </c>
      <c r="G442" s="85">
        <f t="shared" si="29"/>
        <v>1668</v>
      </c>
      <c r="H442" s="110">
        <v>1668</v>
      </c>
      <c r="I442" s="110">
        <v>0</v>
      </c>
    </row>
    <row r="443" spans="1:9" ht="33" customHeight="1">
      <c r="A443" s="17" t="s">
        <v>189</v>
      </c>
      <c r="B443" s="77" t="s">
        <v>415</v>
      </c>
      <c r="C443" s="37" t="s">
        <v>148</v>
      </c>
      <c r="D443" s="37" t="s">
        <v>155</v>
      </c>
      <c r="E443" s="37" t="s">
        <v>13</v>
      </c>
      <c r="F443" s="37" t="s">
        <v>157</v>
      </c>
      <c r="G443" s="85">
        <f t="shared" si="29"/>
        <v>15</v>
      </c>
      <c r="H443" s="110">
        <f>H444</f>
        <v>15</v>
      </c>
      <c r="I443" s="110">
        <f>I444</f>
        <v>0</v>
      </c>
    </row>
    <row r="444" spans="1:9" ht="48" customHeight="1">
      <c r="A444" s="17" t="s">
        <v>190</v>
      </c>
      <c r="B444" s="77" t="s">
        <v>415</v>
      </c>
      <c r="C444" s="37" t="s">
        <v>148</v>
      </c>
      <c r="D444" s="37" t="s">
        <v>155</v>
      </c>
      <c r="E444" s="37" t="s">
        <v>13</v>
      </c>
      <c r="F444" s="37" t="s">
        <v>191</v>
      </c>
      <c r="G444" s="85">
        <f t="shared" si="29"/>
        <v>15</v>
      </c>
      <c r="H444" s="110">
        <v>15</v>
      </c>
      <c r="I444" s="110"/>
    </row>
    <row r="445" spans="1:11" ht="45" customHeight="1">
      <c r="A445" s="17" t="s">
        <v>156</v>
      </c>
      <c r="B445" s="77" t="s">
        <v>415</v>
      </c>
      <c r="C445" s="37" t="s">
        <v>148</v>
      </c>
      <c r="D445" s="37" t="s">
        <v>155</v>
      </c>
      <c r="E445" s="37" t="s">
        <v>14</v>
      </c>
      <c r="F445" s="37" t="s">
        <v>414</v>
      </c>
      <c r="G445" s="85">
        <f t="shared" si="29"/>
        <v>2164.8</v>
      </c>
      <c r="H445" s="110">
        <f>H446+H448+H450</f>
        <v>2164.8</v>
      </c>
      <c r="I445" s="110">
        <f>I446+I448</f>
        <v>0</v>
      </c>
      <c r="K445" s="84"/>
    </row>
    <row r="446" spans="1:9" ht="75" customHeight="1">
      <c r="A446" s="17" t="s">
        <v>186</v>
      </c>
      <c r="B446" s="77" t="s">
        <v>415</v>
      </c>
      <c r="C446" s="37" t="s">
        <v>148</v>
      </c>
      <c r="D446" s="37" t="s">
        <v>155</v>
      </c>
      <c r="E446" s="37" t="s">
        <v>14</v>
      </c>
      <c r="F446" s="37" t="s">
        <v>153</v>
      </c>
      <c r="G446" s="85">
        <f t="shared" si="29"/>
        <v>1320.6870000000001</v>
      </c>
      <c r="H446" s="110">
        <f>H447</f>
        <v>1320.6870000000001</v>
      </c>
      <c r="I446" s="110">
        <f>I447</f>
        <v>0</v>
      </c>
    </row>
    <row r="447" spans="1:9" ht="31.5" customHeight="1">
      <c r="A447" s="17" t="s">
        <v>188</v>
      </c>
      <c r="B447" s="77" t="s">
        <v>415</v>
      </c>
      <c r="C447" s="37" t="s">
        <v>148</v>
      </c>
      <c r="D447" s="37" t="s">
        <v>155</v>
      </c>
      <c r="E447" s="37" t="s">
        <v>14</v>
      </c>
      <c r="F447" s="37" t="s">
        <v>187</v>
      </c>
      <c r="G447" s="85">
        <f t="shared" si="29"/>
        <v>1320.6870000000001</v>
      </c>
      <c r="H447" s="85">
        <f>1820.9-197.166-238.432-64.615</f>
        <v>1320.6870000000001</v>
      </c>
      <c r="I447" s="110"/>
    </row>
    <row r="448" spans="1:9" ht="27">
      <c r="A448" s="17" t="s">
        <v>189</v>
      </c>
      <c r="B448" s="77" t="s">
        <v>415</v>
      </c>
      <c r="C448" s="37" t="s">
        <v>148</v>
      </c>
      <c r="D448" s="37" t="s">
        <v>155</v>
      </c>
      <c r="E448" s="37" t="s">
        <v>14</v>
      </c>
      <c r="F448" s="37" t="s">
        <v>157</v>
      </c>
      <c r="G448" s="85">
        <f t="shared" si="29"/>
        <v>839.113</v>
      </c>
      <c r="H448" s="85">
        <f>H449</f>
        <v>839.113</v>
      </c>
      <c r="I448" s="110">
        <f>I449</f>
        <v>0</v>
      </c>
    </row>
    <row r="449" spans="1:9" ht="41.25">
      <c r="A449" s="17" t="s">
        <v>190</v>
      </c>
      <c r="B449" s="77" t="s">
        <v>415</v>
      </c>
      <c r="C449" s="37" t="s">
        <v>148</v>
      </c>
      <c r="D449" s="37" t="s">
        <v>155</v>
      </c>
      <c r="E449" s="37" t="s">
        <v>14</v>
      </c>
      <c r="F449" s="37" t="s">
        <v>191</v>
      </c>
      <c r="G449" s="85">
        <f t="shared" si="29"/>
        <v>839.113</v>
      </c>
      <c r="H449" s="85">
        <f>2164.8-5-1820.9+197.166+45.756+257.291</f>
        <v>839.113</v>
      </c>
      <c r="I449" s="110"/>
    </row>
    <row r="450" spans="1:9" ht="13.5">
      <c r="A450" s="17" t="s">
        <v>194</v>
      </c>
      <c r="B450" s="22" t="s">
        <v>415</v>
      </c>
      <c r="C450" s="37" t="s">
        <v>148</v>
      </c>
      <c r="D450" s="37" t="s">
        <v>155</v>
      </c>
      <c r="E450" s="37" t="s">
        <v>14</v>
      </c>
      <c r="F450" s="37" t="s">
        <v>195</v>
      </c>
      <c r="G450" s="85">
        <f t="shared" si="29"/>
        <v>5</v>
      </c>
      <c r="H450" s="85">
        <f>H451</f>
        <v>5</v>
      </c>
      <c r="I450" s="110"/>
    </row>
    <row r="451" spans="1:9" ht="13.5">
      <c r="A451" s="17" t="s">
        <v>192</v>
      </c>
      <c r="B451" s="22" t="s">
        <v>415</v>
      </c>
      <c r="C451" s="37" t="s">
        <v>148</v>
      </c>
      <c r="D451" s="37" t="s">
        <v>155</v>
      </c>
      <c r="E451" s="37" t="s">
        <v>14</v>
      </c>
      <c r="F451" s="37" t="s">
        <v>193</v>
      </c>
      <c r="G451" s="85">
        <f t="shared" si="29"/>
        <v>5</v>
      </c>
      <c r="H451" s="85">
        <v>5</v>
      </c>
      <c r="I451" s="110"/>
    </row>
    <row r="452" spans="1:9" ht="45" customHeight="1">
      <c r="A452" s="240" t="s">
        <v>629</v>
      </c>
      <c r="B452" s="173" t="s">
        <v>418</v>
      </c>
      <c r="C452" s="173" t="s">
        <v>149</v>
      </c>
      <c r="D452" s="173" t="s">
        <v>149</v>
      </c>
      <c r="E452" s="173" t="s">
        <v>322</v>
      </c>
      <c r="F452" s="173" t="s">
        <v>414</v>
      </c>
      <c r="G452" s="93">
        <f t="shared" si="29"/>
        <v>27058.970999999998</v>
      </c>
      <c r="H452" s="123">
        <f>H453+H462+H465+H471+H474</f>
        <v>15767.894999999999</v>
      </c>
      <c r="I452" s="123">
        <f>I453+I462+I474</f>
        <v>11291.076</v>
      </c>
    </row>
    <row r="453" spans="1:9" ht="45.75" customHeight="1">
      <c r="A453" s="52" t="s">
        <v>403</v>
      </c>
      <c r="B453" s="77" t="s">
        <v>418</v>
      </c>
      <c r="C453" s="37" t="s">
        <v>148</v>
      </c>
      <c r="D453" s="37" t="s">
        <v>161</v>
      </c>
      <c r="E453" s="37" t="s">
        <v>322</v>
      </c>
      <c r="F453" s="37" t="s">
        <v>414</v>
      </c>
      <c r="G453" s="85">
        <f t="shared" si="29"/>
        <v>6459.92</v>
      </c>
      <c r="H453" s="110">
        <f>H454</f>
        <v>6459.92</v>
      </c>
      <c r="I453" s="110">
        <f>I454</f>
        <v>0</v>
      </c>
    </row>
    <row r="454" spans="1:9" ht="42.75" customHeight="1">
      <c r="A454" s="52" t="s">
        <v>152</v>
      </c>
      <c r="B454" s="77" t="s">
        <v>418</v>
      </c>
      <c r="C454" s="37" t="s">
        <v>148</v>
      </c>
      <c r="D454" s="37" t="s">
        <v>161</v>
      </c>
      <c r="E454" s="37" t="s">
        <v>10</v>
      </c>
      <c r="F454" s="37" t="s">
        <v>414</v>
      </c>
      <c r="G454" s="85">
        <f t="shared" si="29"/>
        <v>6459.92</v>
      </c>
      <c r="H454" s="110">
        <f>H455</f>
        <v>6459.92</v>
      </c>
      <c r="I454" s="110">
        <f>I455</f>
        <v>0</v>
      </c>
    </row>
    <row r="455" spans="1:11" ht="41.25">
      <c r="A455" s="17" t="s">
        <v>293</v>
      </c>
      <c r="B455" s="77" t="s">
        <v>418</v>
      </c>
      <c r="C455" s="37" t="s">
        <v>148</v>
      </c>
      <c r="D455" s="37" t="s">
        <v>161</v>
      </c>
      <c r="E455" s="37" t="s">
        <v>11</v>
      </c>
      <c r="F455" s="37" t="s">
        <v>414</v>
      </c>
      <c r="G455" s="85">
        <f t="shared" si="29"/>
        <v>6459.92</v>
      </c>
      <c r="H455" s="110">
        <f>H456+H458+H460</f>
        <v>6459.92</v>
      </c>
      <c r="I455" s="110">
        <f>I456+I458+I460</f>
        <v>0</v>
      </c>
      <c r="K455" s="84"/>
    </row>
    <row r="456" spans="1:9" ht="91.5" customHeight="1">
      <c r="A456" s="17" t="s">
        <v>186</v>
      </c>
      <c r="B456" s="77" t="s">
        <v>418</v>
      </c>
      <c r="C456" s="37" t="s">
        <v>148</v>
      </c>
      <c r="D456" s="37" t="s">
        <v>161</v>
      </c>
      <c r="E456" s="37" t="s">
        <v>14</v>
      </c>
      <c r="F456" s="37" t="s">
        <v>153</v>
      </c>
      <c r="G456" s="85">
        <f t="shared" si="29"/>
        <v>5591.12</v>
      </c>
      <c r="H456" s="110">
        <f>H457</f>
        <v>5591.12</v>
      </c>
      <c r="I456" s="110">
        <f>I457</f>
        <v>0</v>
      </c>
    </row>
    <row r="457" spans="1:9" ht="27">
      <c r="A457" s="17" t="s">
        <v>188</v>
      </c>
      <c r="B457" s="77" t="s">
        <v>418</v>
      </c>
      <c r="C457" s="37" t="s">
        <v>148</v>
      </c>
      <c r="D457" s="37" t="s">
        <v>161</v>
      </c>
      <c r="E457" s="37" t="s">
        <v>14</v>
      </c>
      <c r="F457" s="37" t="s">
        <v>187</v>
      </c>
      <c r="G457" s="85">
        <f t="shared" si="29"/>
        <v>5591.12</v>
      </c>
      <c r="H457" s="85">
        <v>5591.12</v>
      </c>
      <c r="I457" s="110"/>
    </row>
    <row r="458" spans="1:9" ht="27">
      <c r="A458" s="17" t="s">
        <v>189</v>
      </c>
      <c r="B458" s="77" t="s">
        <v>418</v>
      </c>
      <c r="C458" s="37" t="s">
        <v>148</v>
      </c>
      <c r="D458" s="37" t="s">
        <v>161</v>
      </c>
      <c r="E458" s="37" t="s">
        <v>14</v>
      </c>
      <c r="F458" s="37" t="s">
        <v>157</v>
      </c>
      <c r="G458" s="85">
        <f t="shared" si="29"/>
        <v>860.8</v>
      </c>
      <c r="H458" s="110">
        <f>H459</f>
        <v>860.8</v>
      </c>
      <c r="I458" s="110">
        <f>I459</f>
        <v>0</v>
      </c>
    </row>
    <row r="459" spans="1:9" ht="41.25">
      <c r="A459" s="17" t="s">
        <v>190</v>
      </c>
      <c r="B459" s="77" t="s">
        <v>418</v>
      </c>
      <c r="C459" s="37" t="s">
        <v>148</v>
      </c>
      <c r="D459" s="37" t="s">
        <v>161</v>
      </c>
      <c r="E459" s="37" t="s">
        <v>14</v>
      </c>
      <c r="F459" s="37" t="s">
        <v>191</v>
      </c>
      <c r="G459" s="85">
        <f t="shared" si="29"/>
        <v>860.8</v>
      </c>
      <c r="H459" s="85">
        <v>860.8</v>
      </c>
      <c r="I459" s="110"/>
    </row>
    <row r="460" spans="1:9" ht="13.5">
      <c r="A460" s="17" t="s">
        <v>194</v>
      </c>
      <c r="B460" s="77" t="s">
        <v>418</v>
      </c>
      <c r="C460" s="37" t="s">
        <v>148</v>
      </c>
      <c r="D460" s="37" t="s">
        <v>161</v>
      </c>
      <c r="E460" s="37" t="s">
        <v>14</v>
      </c>
      <c r="F460" s="37" t="s">
        <v>195</v>
      </c>
      <c r="G460" s="85">
        <f t="shared" si="29"/>
        <v>8</v>
      </c>
      <c r="H460" s="110">
        <f>H461</f>
        <v>8</v>
      </c>
      <c r="I460" s="110">
        <f>I461</f>
        <v>0</v>
      </c>
    </row>
    <row r="461" spans="1:9" ht="13.5">
      <c r="A461" s="17" t="s">
        <v>192</v>
      </c>
      <c r="B461" s="77" t="s">
        <v>418</v>
      </c>
      <c r="C461" s="37" t="s">
        <v>148</v>
      </c>
      <c r="D461" s="37" t="s">
        <v>161</v>
      </c>
      <c r="E461" s="37" t="s">
        <v>14</v>
      </c>
      <c r="F461" s="37" t="s">
        <v>193</v>
      </c>
      <c r="G461" s="85">
        <f t="shared" si="29"/>
        <v>8</v>
      </c>
      <c r="H461" s="85">
        <v>8</v>
      </c>
      <c r="I461" s="110"/>
    </row>
    <row r="462" spans="1:9" ht="13.5" hidden="1">
      <c r="A462" s="17" t="s">
        <v>198</v>
      </c>
      <c r="B462" s="77" t="s">
        <v>418</v>
      </c>
      <c r="C462" s="37" t="s">
        <v>148</v>
      </c>
      <c r="D462" s="37" t="s">
        <v>161</v>
      </c>
      <c r="E462" s="37" t="s">
        <v>324</v>
      </c>
      <c r="F462" s="37" t="s">
        <v>414</v>
      </c>
      <c r="G462" s="85">
        <f t="shared" si="29"/>
        <v>0</v>
      </c>
      <c r="H462" s="110">
        <f>H463</f>
        <v>0</v>
      </c>
      <c r="I462" s="110">
        <f>I463</f>
        <v>0</v>
      </c>
    </row>
    <row r="463" spans="1:9" ht="13.5" hidden="1">
      <c r="A463" s="17" t="s">
        <v>194</v>
      </c>
      <c r="B463" s="77" t="s">
        <v>418</v>
      </c>
      <c r="C463" s="37" t="s">
        <v>148</v>
      </c>
      <c r="D463" s="37" t="s">
        <v>161</v>
      </c>
      <c r="E463" s="37" t="s">
        <v>324</v>
      </c>
      <c r="F463" s="37" t="s">
        <v>195</v>
      </c>
      <c r="G463" s="85">
        <f t="shared" si="29"/>
        <v>0</v>
      </c>
      <c r="H463" s="110">
        <f>H464</f>
        <v>0</v>
      </c>
      <c r="I463" s="110">
        <f>I464</f>
        <v>0</v>
      </c>
    </row>
    <row r="464" spans="1:9" ht="13.5" hidden="1">
      <c r="A464" s="17" t="s">
        <v>198</v>
      </c>
      <c r="B464" s="77" t="s">
        <v>418</v>
      </c>
      <c r="C464" s="37" t="s">
        <v>148</v>
      </c>
      <c r="D464" s="37" t="s">
        <v>161</v>
      </c>
      <c r="E464" s="37" t="s">
        <v>324</v>
      </c>
      <c r="F464" s="37" t="s">
        <v>199</v>
      </c>
      <c r="G464" s="85">
        <f t="shared" si="29"/>
        <v>0</v>
      </c>
      <c r="H464" s="110"/>
      <c r="I464" s="110"/>
    </row>
    <row r="465" spans="1:9" ht="27" hidden="1">
      <c r="A465" s="56" t="s">
        <v>508</v>
      </c>
      <c r="B465" s="74" t="s">
        <v>418</v>
      </c>
      <c r="C465" s="59" t="s">
        <v>148</v>
      </c>
      <c r="D465" s="59" t="s">
        <v>396</v>
      </c>
      <c r="E465" s="59" t="s">
        <v>322</v>
      </c>
      <c r="F465" s="59" t="s">
        <v>414</v>
      </c>
      <c r="G465" s="94">
        <f t="shared" si="29"/>
        <v>0</v>
      </c>
      <c r="H465" s="94">
        <f>H466</f>
        <v>0</v>
      </c>
      <c r="I465" s="94"/>
    </row>
    <row r="466" spans="1:9" ht="27" hidden="1">
      <c r="A466" s="17" t="s">
        <v>509</v>
      </c>
      <c r="B466" s="77" t="s">
        <v>418</v>
      </c>
      <c r="C466" s="37" t="s">
        <v>148</v>
      </c>
      <c r="D466" s="37" t="s">
        <v>396</v>
      </c>
      <c r="E466" s="37" t="s">
        <v>10</v>
      </c>
      <c r="F466" s="37" t="s">
        <v>414</v>
      </c>
      <c r="G466" s="85">
        <f t="shared" si="29"/>
        <v>0</v>
      </c>
      <c r="H466" s="110">
        <f>H467</f>
        <v>0</v>
      </c>
      <c r="I466" s="110"/>
    </row>
    <row r="467" spans="1:9" ht="41.25" hidden="1">
      <c r="A467" s="17" t="s">
        <v>152</v>
      </c>
      <c r="B467" s="77" t="s">
        <v>418</v>
      </c>
      <c r="C467" s="37" t="s">
        <v>148</v>
      </c>
      <c r="D467" s="37" t="s">
        <v>396</v>
      </c>
      <c r="E467" s="37" t="s">
        <v>11</v>
      </c>
      <c r="F467" s="37" t="s">
        <v>414</v>
      </c>
      <c r="G467" s="85">
        <f t="shared" si="29"/>
        <v>0</v>
      </c>
      <c r="H467" s="110">
        <f>H468</f>
        <v>0</v>
      </c>
      <c r="I467" s="110"/>
    </row>
    <row r="468" spans="1:9" ht="27" hidden="1">
      <c r="A468" s="17" t="s">
        <v>510</v>
      </c>
      <c r="B468" s="77" t="s">
        <v>418</v>
      </c>
      <c r="C468" s="37" t="s">
        <v>148</v>
      </c>
      <c r="D468" s="37" t="s">
        <v>396</v>
      </c>
      <c r="E468" s="37" t="s">
        <v>511</v>
      </c>
      <c r="F468" s="37" t="s">
        <v>414</v>
      </c>
      <c r="G468" s="85">
        <f t="shared" si="29"/>
        <v>0</v>
      </c>
      <c r="H468" s="110">
        <f>H469</f>
        <v>0</v>
      </c>
      <c r="I468" s="110"/>
    </row>
    <row r="469" spans="1:9" ht="13.5" hidden="1">
      <c r="A469" s="17" t="s">
        <v>194</v>
      </c>
      <c r="B469" s="77" t="s">
        <v>418</v>
      </c>
      <c r="C469" s="37" t="s">
        <v>148</v>
      </c>
      <c r="D469" s="37" t="s">
        <v>396</v>
      </c>
      <c r="E469" s="37" t="s">
        <v>511</v>
      </c>
      <c r="F469" s="37" t="s">
        <v>195</v>
      </c>
      <c r="G469" s="85">
        <f t="shared" si="29"/>
        <v>0</v>
      </c>
      <c r="H469" s="110">
        <f>H470</f>
        <v>0</v>
      </c>
      <c r="I469" s="110"/>
    </row>
    <row r="470" spans="1:9" ht="13.5" hidden="1">
      <c r="A470" s="221" t="s">
        <v>559</v>
      </c>
      <c r="B470" s="77" t="s">
        <v>418</v>
      </c>
      <c r="C470" s="37" t="s">
        <v>148</v>
      </c>
      <c r="D470" s="37" t="s">
        <v>396</v>
      </c>
      <c r="E470" s="37" t="s">
        <v>511</v>
      </c>
      <c r="F470" s="37" t="s">
        <v>560</v>
      </c>
      <c r="G470" s="85">
        <f aca="true" t="shared" si="32" ref="G470:G486">H470+I470</f>
        <v>0</v>
      </c>
      <c r="H470" s="110">
        <v>0</v>
      </c>
      <c r="I470" s="110"/>
    </row>
    <row r="471" spans="1:9" ht="13.5" hidden="1">
      <c r="A471" s="55" t="s">
        <v>198</v>
      </c>
      <c r="B471" s="74" t="s">
        <v>418</v>
      </c>
      <c r="C471" s="59" t="s">
        <v>148</v>
      </c>
      <c r="D471" s="59" t="s">
        <v>168</v>
      </c>
      <c r="E471" s="59" t="s">
        <v>20</v>
      </c>
      <c r="F471" s="59" t="s">
        <v>414</v>
      </c>
      <c r="G471" s="94">
        <f t="shared" si="32"/>
        <v>0</v>
      </c>
      <c r="H471" s="94">
        <f>H472</f>
        <v>0</v>
      </c>
      <c r="I471" s="94"/>
    </row>
    <row r="472" spans="1:9" ht="13.5" hidden="1">
      <c r="A472" s="17" t="s">
        <v>194</v>
      </c>
      <c r="B472" s="22" t="s">
        <v>418</v>
      </c>
      <c r="C472" s="37" t="s">
        <v>148</v>
      </c>
      <c r="D472" s="37" t="s">
        <v>168</v>
      </c>
      <c r="E472" s="37" t="s">
        <v>20</v>
      </c>
      <c r="F472" s="37" t="s">
        <v>195</v>
      </c>
      <c r="G472" s="85">
        <f t="shared" si="32"/>
        <v>0</v>
      </c>
      <c r="H472" s="85">
        <f>H473</f>
        <v>0</v>
      </c>
      <c r="I472" s="85"/>
    </row>
    <row r="473" spans="1:9" ht="13.5" hidden="1">
      <c r="A473" s="17" t="s">
        <v>198</v>
      </c>
      <c r="B473" s="22" t="s">
        <v>418</v>
      </c>
      <c r="C473" s="37" t="s">
        <v>148</v>
      </c>
      <c r="D473" s="37" t="s">
        <v>168</v>
      </c>
      <c r="E473" s="37" t="s">
        <v>20</v>
      </c>
      <c r="F473" s="37" t="s">
        <v>199</v>
      </c>
      <c r="G473" s="85">
        <f t="shared" si="32"/>
        <v>0</v>
      </c>
      <c r="H473" s="85">
        <v>0</v>
      </c>
      <c r="I473" s="85"/>
    </row>
    <row r="474" spans="1:9" ht="72">
      <c r="A474" s="75" t="s">
        <v>552</v>
      </c>
      <c r="B474" s="87" t="s">
        <v>418</v>
      </c>
      <c r="C474" s="73" t="s">
        <v>240</v>
      </c>
      <c r="D474" s="73" t="s">
        <v>149</v>
      </c>
      <c r="E474" s="73" t="s">
        <v>534</v>
      </c>
      <c r="F474" s="73" t="s">
        <v>414</v>
      </c>
      <c r="G474" s="88">
        <f t="shared" si="32"/>
        <v>20599.051</v>
      </c>
      <c r="H474" s="88">
        <f>H475+H483+H485+H489</f>
        <v>9307.974999999999</v>
      </c>
      <c r="I474" s="88">
        <f>I476+I485</f>
        <v>11291.076</v>
      </c>
    </row>
    <row r="475" spans="1:9" ht="48" customHeight="1">
      <c r="A475" s="17" t="s">
        <v>241</v>
      </c>
      <c r="B475" s="77" t="s">
        <v>418</v>
      </c>
      <c r="C475" s="37" t="s">
        <v>240</v>
      </c>
      <c r="D475" s="37" t="s">
        <v>148</v>
      </c>
      <c r="E475" s="37" t="s">
        <v>534</v>
      </c>
      <c r="F475" s="37" t="s">
        <v>414</v>
      </c>
      <c r="G475" s="85">
        <f t="shared" si="32"/>
        <v>19879.051</v>
      </c>
      <c r="H475" s="85">
        <f>H480</f>
        <v>8587.974999999999</v>
      </c>
      <c r="I475" s="85">
        <f>I476</f>
        <v>11291.076</v>
      </c>
    </row>
    <row r="476" spans="1:9" ht="41.25">
      <c r="A476" s="55" t="s">
        <v>242</v>
      </c>
      <c r="B476" s="77" t="s">
        <v>418</v>
      </c>
      <c r="C476" s="59" t="s">
        <v>240</v>
      </c>
      <c r="D476" s="59" t="s">
        <v>148</v>
      </c>
      <c r="E476" s="59" t="s">
        <v>526</v>
      </c>
      <c r="F476" s="59" t="s">
        <v>414</v>
      </c>
      <c r="G476" s="94">
        <f t="shared" si="32"/>
        <v>11291.076</v>
      </c>
      <c r="H476" s="94">
        <f>H477</f>
        <v>0</v>
      </c>
      <c r="I476" s="94">
        <f>I477</f>
        <v>11291.076</v>
      </c>
    </row>
    <row r="477" spans="1:9" ht="13.5">
      <c r="A477" s="17" t="s">
        <v>200</v>
      </c>
      <c r="B477" s="77" t="s">
        <v>418</v>
      </c>
      <c r="C477" s="37" t="s">
        <v>240</v>
      </c>
      <c r="D477" s="37" t="s">
        <v>148</v>
      </c>
      <c r="E477" s="37" t="s">
        <v>526</v>
      </c>
      <c r="F477" s="37" t="s">
        <v>414</v>
      </c>
      <c r="G477" s="85">
        <f t="shared" si="32"/>
        <v>11291.076</v>
      </c>
      <c r="H477" s="85">
        <f>H478</f>
        <v>0</v>
      </c>
      <c r="I477" s="85">
        <f>I478+I480</f>
        <v>11291.076</v>
      </c>
    </row>
    <row r="478" spans="1:9" ht="82.5">
      <c r="A478" s="17" t="s">
        <v>338</v>
      </c>
      <c r="B478" s="77" t="s">
        <v>418</v>
      </c>
      <c r="C478" s="37" t="s">
        <v>240</v>
      </c>
      <c r="D478" s="37" t="s">
        <v>148</v>
      </c>
      <c r="E478" s="37" t="s">
        <v>526</v>
      </c>
      <c r="F478" s="37" t="s">
        <v>414</v>
      </c>
      <c r="G478" s="85">
        <f>H478+I478</f>
        <v>11291.076</v>
      </c>
      <c r="H478" s="85">
        <f>H479</f>
        <v>0</v>
      </c>
      <c r="I478" s="85">
        <f>I479</f>
        <v>11291.076</v>
      </c>
    </row>
    <row r="479" spans="1:9" ht="13.5">
      <c r="A479" s="17" t="s">
        <v>210</v>
      </c>
      <c r="B479" s="77" t="s">
        <v>418</v>
      </c>
      <c r="C479" s="37" t="s">
        <v>240</v>
      </c>
      <c r="D479" s="37" t="s">
        <v>148</v>
      </c>
      <c r="E479" s="37" t="s">
        <v>526</v>
      </c>
      <c r="F479" s="37" t="s">
        <v>211</v>
      </c>
      <c r="G479" s="85">
        <f t="shared" si="32"/>
        <v>11291.076</v>
      </c>
      <c r="H479" s="85">
        <v>0</v>
      </c>
      <c r="I479" s="85">
        <v>11291.076</v>
      </c>
    </row>
    <row r="480" spans="1:9" ht="41.25">
      <c r="A480" s="55" t="s">
        <v>315</v>
      </c>
      <c r="B480" s="77" t="s">
        <v>418</v>
      </c>
      <c r="C480" s="59" t="s">
        <v>240</v>
      </c>
      <c r="D480" s="59" t="s">
        <v>148</v>
      </c>
      <c r="E480" s="59" t="s">
        <v>527</v>
      </c>
      <c r="F480" s="59" t="s">
        <v>414</v>
      </c>
      <c r="G480" s="94">
        <f>H480+I480</f>
        <v>8587.974999999999</v>
      </c>
      <c r="H480" s="94">
        <f>H481</f>
        <v>8587.974999999999</v>
      </c>
      <c r="I480" s="94">
        <f>I481</f>
        <v>0</v>
      </c>
    </row>
    <row r="481" spans="1:9" ht="13.5">
      <c r="A481" s="17" t="s">
        <v>210</v>
      </c>
      <c r="B481" s="77" t="s">
        <v>418</v>
      </c>
      <c r="C481" s="37" t="s">
        <v>240</v>
      </c>
      <c r="D481" s="37" t="s">
        <v>148</v>
      </c>
      <c r="E481" s="37" t="s">
        <v>527</v>
      </c>
      <c r="F481" s="37" t="s">
        <v>211</v>
      </c>
      <c r="G481" s="85">
        <f t="shared" si="32"/>
        <v>8587.974999999999</v>
      </c>
      <c r="H481" s="85">
        <f>8375.417+212.558</f>
        <v>8587.974999999999</v>
      </c>
      <c r="I481" s="85"/>
    </row>
    <row r="482" spans="1:9" ht="41.25" hidden="1">
      <c r="A482" s="17" t="s">
        <v>315</v>
      </c>
      <c r="B482" s="77" t="s">
        <v>418</v>
      </c>
      <c r="C482" s="37" t="s">
        <v>240</v>
      </c>
      <c r="D482" s="37" t="s">
        <v>148</v>
      </c>
      <c r="E482" s="37" t="s">
        <v>20</v>
      </c>
      <c r="F482" s="37" t="s">
        <v>414</v>
      </c>
      <c r="G482" s="85">
        <f>H482</f>
        <v>0</v>
      </c>
      <c r="H482" s="85">
        <f>H483</f>
        <v>0</v>
      </c>
      <c r="I482" s="85">
        <f>I483</f>
        <v>0</v>
      </c>
    </row>
    <row r="483" spans="1:9" ht="13.5" hidden="1">
      <c r="A483" s="17" t="s">
        <v>198</v>
      </c>
      <c r="B483" s="77" t="s">
        <v>418</v>
      </c>
      <c r="C483" s="37" t="s">
        <v>240</v>
      </c>
      <c r="D483" s="37" t="s">
        <v>148</v>
      </c>
      <c r="E483" s="37" t="s">
        <v>20</v>
      </c>
      <c r="F483" s="37" t="s">
        <v>211</v>
      </c>
      <c r="G483" s="85">
        <f>H483</f>
        <v>0</v>
      </c>
      <c r="H483" s="85"/>
      <c r="I483" s="85"/>
    </row>
    <row r="484" spans="1:9" ht="27">
      <c r="A484" s="55" t="s">
        <v>349</v>
      </c>
      <c r="B484" s="77" t="s">
        <v>418</v>
      </c>
      <c r="C484" s="59" t="s">
        <v>240</v>
      </c>
      <c r="D484" s="59" t="s">
        <v>155</v>
      </c>
      <c r="E484" s="59" t="s">
        <v>534</v>
      </c>
      <c r="F484" s="59" t="s">
        <v>414</v>
      </c>
      <c r="G484" s="94">
        <f t="shared" si="32"/>
        <v>720</v>
      </c>
      <c r="H484" s="94">
        <f>H485</f>
        <v>720</v>
      </c>
      <c r="I484" s="94">
        <f>I485</f>
        <v>0</v>
      </c>
    </row>
    <row r="485" spans="1:9" ht="27">
      <c r="A485" s="17" t="s">
        <v>461</v>
      </c>
      <c r="B485" s="77" t="s">
        <v>418</v>
      </c>
      <c r="C485" s="37" t="s">
        <v>240</v>
      </c>
      <c r="D485" s="37" t="s">
        <v>155</v>
      </c>
      <c r="E485" s="37" t="s">
        <v>528</v>
      </c>
      <c r="F485" s="37" t="s">
        <v>414</v>
      </c>
      <c r="G485" s="85">
        <f t="shared" si="32"/>
        <v>720</v>
      </c>
      <c r="H485" s="85">
        <f>H486</f>
        <v>720</v>
      </c>
      <c r="I485" s="85">
        <f>I487</f>
        <v>0</v>
      </c>
    </row>
    <row r="486" spans="1:9" ht="16.5" customHeight="1">
      <c r="A486" s="17" t="s">
        <v>200</v>
      </c>
      <c r="B486" s="77" t="s">
        <v>418</v>
      </c>
      <c r="C486" s="37" t="s">
        <v>240</v>
      </c>
      <c r="D486" s="37" t="s">
        <v>155</v>
      </c>
      <c r="E486" s="37" t="s">
        <v>528</v>
      </c>
      <c r="F486" s="37" t="s">
        <v>201</v>
      </c>
      <c r="G486" s="85">
        <f t="shared" si="32"/>
        <v>720</v>
      </c>
      <c r="H486" s="85">
        <f>H487+H490</f>
        <v>720</v>
      </c>
      <c r="I486" s="85"/>
    </row>
    <row r="487" spans="1:9" ht="17.25" customHeight="1">
      <c r="A487" s="17" t="s">
        <v>304</v>
      </c>
      <c r="B487" s="77" t="s">
        <v>418</v>
      </c>
      <c r="C487" s="37" t="s">
        <v>240</v>
      </c>
      <c r="D487" s="37" t="s">
        <v>155</v>
      </c>
      <c r="E487" s="37" t="s">
        <v>528</v>
      </c>
      <c r="F487" s="37" t="s">
        <v>460</v>
      </c>
      <c r="G487" s="85">
        <f>H487+I487</f>
        <v>720</v>
      </c>
      <c r="H487" s="85">
        <f>450+170+100</f>
        <v>720</v>
      </c>
      <c r="I487" s="85"/>
    </row>
    <row r="488" spans="1:9" ht="13.5" hidden="1">
      <c r="A488" s="17" t="s">
        <v>200</v>
      </c>
      <c r="B488" s="77" t="s">
        <v>418</v>
      </c>
      <c r="C488" s="37" t="s">
        <v>240</v>
      </c>
      <c r="D488" s="37" t="s">
        <v>155</v>
      </c>
      <c r="E488" s="37" t="s">
        <v>515</v>
      </c>
      <c r="F488" s="37" t="s">
        <v>201</v>
      </c>
      <c r="G488" s="85">
        <f>H488</f>
        <v>0</v>
      </c>
      <c r="H488" s="85">
        <f>H489</f>
        <v>0</v>
      </c>
      <c r="I488" s="110"/>
    </row>
    <row r="489" spans="1:9" ht="123.75" hidden="1">
      <c r="A489" s="17" t="s">
        <v>516</v>
      </c>
      <c r="B489" s="77" t="s">
        <v>418</v>
      </c>
      <c r="C489" s="37" t="s">
        <v>240</v>
      </c>
      <c r="D489" s="37" t="s">
        <v>155</v>
      </c>
      <c r="E489" s="37" t="s">
        <v>515</v>
      </c>
      <c r="F489" s="37" t="s">
        <v>460</v>
      </c>
      <c r="G489" s="85">
        <f>H489</f>
        <v>0</v>
      </c>
      <c r="H489" s="85"/>
      <c r="I489" s="110"/>
    </row>
    <row r="490" spans="1:9" ht="69" hidden="1">
      <c r="A490" s="17" t="s">
        <v>702</v>
      </c>
      <c r="B490" s="77" t="s">
        <v>418</v>
      </c>
      <c r="C490" s="37" t="s">
        <v>240</v>
      </c>
      <c r="D490" s="37" t="s">
        <v>155</v>
      </c>
      <c r="E490" s="37" t="s">
        <v>742</v>
      </c>
      <c r="F490" s="37" t="s">
        <v>460</v>
      </c>
      <c r="G490" s="85">
        <f>H490</f>
        <v>0</v>
      </c>
      <c r="H490" s="85">
        <v>0</v>
      </c>
      <c r="I490" s="110"/>
    </row>
    <row r="491" spans="1:9" ht="69">
      <c r="A491" s="240" t="s">
        <v>432</v>
      </c>
      <c r="B491" s="173" t="s">
        <v>417</v>
      </c>
      <c r="C491" s="173" t="s">
        <v>149</v>
      </c>
      <c r="D491" s="173" t="s">
        <v>149</v>
      </c>
      <c r="E491" s="173" t="s">
        <v>322</v>
      </c>
      <c r="F491" s="173" t="s">
        <v>414</v>
      </c>
      <c r="G491" s="93">
        <f>H491+I491</f>
        <v>447671.92646999995</v>
      </c>
      <c r="H491" s="123">
        <f>H492+H645+H661</f>
        <v>194237.45504</v>
      </c>
      <c r="I491" s="123">
        <f>I492+I501+I645+I661</f>
        <v>253434.47142999998</v>
      </c>
    </row>
    <row r="492" spans="1:9" ht="13.5">
      <c r="A492" s="105" t="s">
        <v>395</v>
      </c>
      <c r="B492" s="173" t="s">
        <v>417</v>
      </c>
      <c r="C492" s="80" t="s">
        <v>396</v>
      </c>
      <c r="D492" s="80" t="s">
        <v>149</v>
      </c>
      <c r="E492" s="80" t="s">
        <v>322</v>
      </c>
      <c r="F492" s="80" t="s">
        <v>414</v>
      </c>
      <c r="G492" s="93">
        <f>I492+H492</f>
        <v>439176.66747</v>
      </c>
      <c r="H492" s="123">
        <f>H493+H519+H568+H581+H586+H596+H604+H578</f>
        <v>194237.45504</v>
      </c>
      <c r="I492" s="123">
        <f>I493+I519+I568+I581+I586+I604</f>
        <v>244939.21242999999</v>
      </c>
    </row>
    <row r="493" spans="1:9" ht="13.5">
      <c r="A493" s="79" t="s">
        <v>405</v>
      </c>
      <c r="B493" s="173" t="s">
        <v>417</v>
      </c>
      <c r="C493" s="80" t="s">
        <v>396</v>
      </c>
      <c r="D493" s="80" t="s">
        <v>148</v>
      </c>
      <c r="E493" s="80" t="s">
        <v>322</v>
      </c>
      <c r="F493" s="80" t="s">
        <v>414</v>
      </c>
      <c r="G493" s="93">
        <f aca="true" t="shared" si="33" ref="G493:G608">H493+I493</f>
        <v>77265.59300000001</v>
      </c>
      <c r="H493" s="123">
        <f>H494+H504+H507+H514</f>
        <v>37796.48100000001</v>
      </c>
      <c r="I493" s="123">
        <f>I494+I504</f>
        <v>39469.112</v>
      </c>
    </row>
    <row r="494" spans="1:9" ht="41.25">
      <c r="A494" s="55" t="s">
        <v>477</v>
      </c>
      <c r="B494" s="171" t="s">
        <v>417</v>
      </c>
      <c r="C494" s="59" t="s">
        <v>396</v>
      </c>
      <c r="D494" s="59" t="s">
        <v>148</v>
      </c>
      <c r="E494" s="59" t="s">
        <v>31</v>
      </c>
      <c r="F494" s="59" t="s">
        <v>414</v>
      </c>
      <c r="G494" s="94">
        <f t="shared" si="33"/>
        <v>36896.48100000001</v>
      </c>
      <c r="H494" s="122">
        <f>H495</f>
        <v>36896.48100000001</v>
      </c>
      <c r="I494" s="122">
        <f>I495</f>
        <v>0</v>
      </c>
    </row>
    <row r="495" spans="1:9" ht="41.25">
      <c r="A495" s="81" t="s">
        <v>260</v>
      </c>
      <c r="B495" s="77" t="s">
        <v>417</v>
      </c>
      <c r="C495" s="37" t="s">
        <v>396</v>
      </c>
      <c r="D495" s="37" t="s">
        <v>148</v>
      </c>
      <c r="E495" s="37" t="s">
        <v>44</v>
      </c>
      <c r="F495" s="37" t="s">
        <v>414</v>
      </c>
      <c r="G495" s="85">
        <f t="shared" si="33"/>
        <v>36896.48100000001</v>
      </c>
      <c r="H495" s="110">
        <f>H496+H501+H499</f>
        <v>36896.48100000001</v>
      </c>
      <c r="I495" s="110">
        <f>I496+I501</f>
        <v>0</v>
      </c>
    </row>
    <row r="496" spans="1:9" ht="41.25">
      <c r="A496" s="17" t="s">
        <v>212</v>
      </c>
      <c r="B496" s="77" t="s">
        <v>417</v>
      </c>
      <c r="C496" s="37" t="s">
        <v>396</v>
      </c>
      <c r="D496" s="37" t="s">
        <v>148</v>
      </c>
      <c r="E496" s="37" t="s">
        <v>46</v>
      </c>
      <c r="F496" s="37" t="s">
        <v>213</v>
      </c>
      <c r="G496" s="85">
        <f t="shared" si="33"/>
        <v>2984.8810000000003</v>
      </c>
      <c r="H496" s="110">
        <f>H497</f>
        <v>2984.8810000000003</v>
      </c>
      <c r="I496" s="110">
        <f>I497</f>
        <v>0</v>
      </c>
    </row>
    <row r="497" spans="1:9" ht="13.5">
      <c r="A497" s="46" t="s">
        <v>214</v>
      </c>
      <c r="B497" s="77" t="s">
        <v>417</v>
      </c>
      <c r="C497" s="37" t="s">
        <v>396</v>
      </c>
      <c r="D497" s="37" t="s">
        <v>148</v>
      </c>
      <c r="E497" s="37" t="s">
        <v>45</v>
      </c>
      <c r="F497" s="37" t="s">
        <v>289</v>
      </c>
      <c r="G497" s="85">
        <f>H497+I497</f>
        <v>2984.8810000000003</v>
      </c>
      <c r="H497" s="85">
        <f>200+200+2794.8-209.919</f>
        <v>2984.8810000000003</v>
      </c>
      <c r="I497" s="110"/>
    </row>
    <row r="498" spans="1:9" ht="41.25">
      <c r="A498" s="17" t="s">
        <v>212</v>
      </c>
      <c r="B498" s="22" t="s">
        <v>417</v>
      </c>
      <c r="C498" s="37" t="s">
        <v>396</v>
      </c>
      <c r="D498" s="37" t="s">
        <v>148</v>
      </c>
      <c r="E498" s="37" t="s">
        <v>883</v>
      </c>
      <c r="F498" s="37" t="s">
        <v>213</v>
      </c>
      <c r="G498" s="85">
        <f>H498+I498</f>
        <v>80</v>
      </c>
      <c r="H498" s="85">
        <f>H499</f>
        <v>80</v>
      </c>
      <c r="I498" s="85">
        <f>I499</f>
        <v>0</v>
      </c>
    </row>
    <row r="499" spans="1:9" ht="35.25" customHeight="1">
      <c r="A499" s="75" t="s">
        <v>886</v>
      </c>
      <c r="B499" s="87" t="s">
        <v>417</v>
      </c>
      <c r="C499" s="73" t="s">
        <v>396</v>
      </c>
      <c r="D499" s="73" t="s">
        <v>148</v>
      </c>
      <c r="E499" s="73" t="s">
        <v>883</v>
      </c>
      <c r="F499" s="73" t="s">
        <v>289</v>
      </c>
      <c r="G499" s="88">
        <f>H499+I499</f>
        <v>80</v>
      </c>
      <c r="H499" s="88">
        <v>80</v>
      </c>
      <c r="I499" s="88"/>
    </row>
    <row r="500" spans="1:9" ht="13.5" hidden="1">
      <c r="A500" s="46"/>
      <c r="B500" s="77" t="s">
        <v>417</v>
      </c>
      <c r="C500" s="37" t="s">
        <v>396</v>
      </c>
      <c r="D500" s="37" t="s">
        <v>148</v>
      </c>
      <c r="E500" s="37"/>
      <c r="F500" s="37"/>
      <c r="G500" s="85"/>
      <c r="H500" s="85"/>
      <c r="I500" s="110"/>
    </row>
    <row r="501" spans="1:10" ht="82.5">
      <c r="A501" s="17" t="s">
        <v>950</v>
      </c>
      <c r="B501" s="77" t="s">
        <v>417</v>
      </c>
      <c r="C501" s="37" t="s">
        <v>396</v>
      </c>
      <c r="D501" s="37" t="s">
        <v>148</v>
      </c>
      <c r="E501" s="37" t="s">
        <v>46</v>
      </c>
      <c r="F501" s="37" t="s">
        <v>414</v>
      </c>
      <c r="G501" s="85">
        <f>H501+I501</f>
        <v>33831.600000000006</v>
      </c>
      <c r="H501" s="110">
        <f>H502</f>
        <v>33831.600000000006</v>
      </c>
      <c r="I501" s="110">
        <f>I502</f>
        <v>0</v>
      </c>
      <c r="J501" s="51"/>
    </row>
    <row r="502" spans="1:9" ht="41.25">
      <c r="A502" s="17" t="s">
        <v>212</v>
      </c>
      <c r="B502" s="77" t="s">
        <v>417</v>
      </c>
      <c r="C502" s="37" t="s">
        <v>396</v>
      </c>
      <c r="D502" s="37" t="s">
        <v>148</v>
      </c>
      <c r="E502" s="37" t="s">
        <v>46</v>
      </c>
      <c r="F502" s="37" t="s">
        <v>213</v>
      </c>
      <c r="G502" s="85">
        <f t="shared" si="33"/>
        <v>33831.600000000006</v>
      </c>
      <c r="H502" s="110">
        <f>H503</f>
        <v>33831.600000000006</v>
      </c>
      <c r="I502" s="110">
        <f>I503</f>
        <v>0</v>
      </c>
    </row>
    <row r="503" spans="1:10" ht="13.5">
      <c r="A503" s="17" t="s">
        <v>177</v>
      </c>
      <c r="B503" s="77" t="s">
        <v>417</v>
      </c>
      <c r="C503" s="37" t="s">
        <v>396</v>
      </c>
      <c r="D503" s="37" t="s">
        <v>148</v>
      </c>
      <c r="E503" s="37" t="s">
        <v>47</v>
      </c>
      <c r="F503" s="37" t="s">
        <v>289</v>
      </c>
      <c r="G503" s="85">
        <f t="shared" si="33"/>
        <v>33831.600000000006</v>
      </c>
      <c r="H503" s="85">
        <f>21846.4+4500.9-1950.4+2310.4+7124.3</f>
        <v>33831.600000000006</v>
      </c>
      <c r="I503" s="110"/>
      <c r="J503" s="51"/>
    </row>
    <row r="504" spans="1:9" ht="69">
      <c r="A504" s="17" t="s">
        <v>401</v>
      </c>
      <c r="B504" s="77" t="s">
        <v>417</v>
      </c>
      <c r="C504" s="37" t="s">
        <v>396</v>
      </c>
      <c r="D504" s="22" t="s">
        <v>148</v>
      </c>
      <c r="E504" s="37" t="s">
        <v>48</v>
      </c>
      <c r="F504" s="37" t="s">
        <v>414</v>
      </c>
      <c r="G504" s="85">
        <f>H504+I504</f>
        <v>39469.112</v>
      </c>
      <c r="H504" s="110">
        <f>H505</f>
        <v>0</v>
      </c>
      <c r="I504" s="110">
        <f>I505</f>
        <v>39469.112</v>
      </c>
    </row>
    <row r="505" spans="1:9" ht="41.25">
      <c r="A505" s="17" t="s">
        <v>212</v>
      </c>
      <c r="B505" s="77" t="s">
        <v>417</v>
      </c>
      <c r="C505" s="37" t="s">
        <v>396</v>
      </c>
      <c r="D505" s="37" t="s">
        <v>148</v>
      </c>
      <c r="E505" s="37" t="s">
        <v>48</v>
      </c>
      <c r="F505" s="37" t="s">
        <v>213</v>
      </c>
      <c r="G505" s="85">
        <f t="shared" si="33"/>
        <v>39469.112</v>
      </c>
      <c r="H505" s="110"/>
      <c r="I505" s="85">
        <f>I506</f>
        <v>39469.112</v>
      </c>
    </row>
    <row r="506" spans="1:9" ht="13.5">
      <c r="A506" s="17" t="s">
        <v>214</v>
      </c>
      <c r="B506" s="77" t="s">
        <v>417</v>
      </c>
      <c r="C506" s="37" t="s">
        <v>396</v>
      </c>
      <c r="D506" s="37" t="s">
        <v>148</v>
      </c>
      <c r="E506" s="37" t="s">
        <v>48</v>
      </c>
      <c r="F506" s="37" t="s">
        <v>289</v>
      </c>
      <c r="G506" s="85">
        <f t="shared" si="33"/>
        <v>39469.112</v>
      </c>
      <c r="H506" s="110"/>
      <c r="I506" s="85">
        <f>38428.372+1040.74</f>
        <v>39469.112</v>
      </c>
    </row>
    <row r="507" spans="1:9" ht="31.5" customHeight="1" hidden="1">
      <c r="A507" s="55" t="s">
        <v>582</v>
      </c>
      <c r="B507" s="77" t="s">
        <v>925</v>
      </c>
      <c r="C507" s="37" t="s">
        <v>396</v>
      </c>
      <c r="D507" s="37" t="s">
        <v>148</v>
      </c>
      <c r="E507" s="59" t="s">
        <v>322</v>
      </c>
      <c r="F507" s="59" t="s">
        <v>414</v>
      </c>
      <c r="G507" s="88">
        <f>H507</f>
        <v>0</v>
      </c>
      <c r="H507" s="88">
        <f>H508+H511</f>
        <v>0</v>
      </c>
      <c r="I507" s="88"/>
    </row>
    <row r="508" spans="1:9" ht="33" customHeight="1" hidden="1">
      <c r="A508" s="17" t="s">
        <v>583</v>
      </c>
      <c r="B508" s="77" t="s">
        <v>926</v>
      </c>
      <c r="C508" s="37" t="s">
        <v>396</v>
      </c>
      <c r="D508" s="37" t="s">
        <v>148</v>
      </c>
      <c r="E508" s="37" t="s">
        <v>584</v>
      </c>
      <c r="F508" s="37" t="s">
        <v>414</v>
      </c>
      <c r="G508" s="85">
        <f>H508</f>
        <v>0</v>
      </c>
      <c r="H508" s="85">
        <f>H509</f>
        <v>0</v>
      </c>
      <c r="I508" s="85"/>
    </row>
    <row r="509" spans="1:9" ht="47.25" customHeight="1" hidden="1">
      <c r="A509" s="17" t="s">
        <v>212</v>
      </c>
      <c r="B509" s="77" t="s">
        <v>416</v>
      </c>
      <c r="C509" s="37" t="s">
        <v>396</v>
      </c>
      <c r="D509" s="37" t="s">
        <v>148</v>
      </c>
      <c r="E509" s="37" t="s">
        <v>584</v>
      </c>
      <c r="F509" s="37" t="s">
        <v>213</v>
      </c>
      <c r="G509" s="85">
        <f>H509</f>
        <v>0</v>
      </c>
      <c r="H509" s="85">
        <f>H510</f>
        <v>0</v>
      </c>
      <c r="I509" s="85"/>
    </row>
    <row r="510" spans="1:9" ht="22.5" customHeight="1" hidden="1">
      <c r="A510" s="17" t="s">
        <v>214</v>
      </c>
      <c r="B510" s="77" t="s">
        <v>927</v>
      </c>
      <c r="C510" s="37" t="s">
        <v>396</v>
      </c>
      <c r="D510" s="37" t="s">
        <v>148</v>
      </c>
      <c r="E510" s="37" t="s">
        <v>584</v>
      </c>
      <c r="F510" s="37" t="s">
        <v>289</v>
      </c>
      <c r="G510" s="85">
        <f>H510</f>
        <v>0</v>
      </c>
      <c r="H510" s="85">
        <v>0</v>
      </c>
      <c r="I510" s="85"/>
    </row>
    <row r="511" spans="1:9" ht="33" customHeight="1" hidden="1">
      <c r="A511" s="55" t="s">
        <v>880</v>
      </c>
      <c r="B511" s="77" t="s">
        <v>928</v>
      </c>
      <c r="C511" s="37" t="s">
        <v>396</v>
      </c>
      <c r="D511" s="37" t="s">
        <v>148</v>
      </c>
      <c r="E511" s="293" t="s">
        <v>11</v>
      </c>
      <c r="F511" s="59" t="s">
        <v>414</v>
      </c>
      <c r="G511" s="94">
        <f>H511+I511</f>
        <v>0</v>
      </c>
      <c r="H511" s="94">
        <f>H512</f>
        <v>0</v>
      </c>
      <c r="I511" s="94">
        <f>I512</f>
        <v>0</v>
      </c>
    </row>
    <row r="512" spans="1:9" ht="50.25" customHeight="1" hidden="1">
      <c r="A512" s="17" t="s">
        <v>212</v>
      </c>
      <c r="B512" s="77" t="s">
        <v>929</v>
      </c>
      <c r="C512" s="37" t="s">
        <v>396</v>
      </c>
      <c r="D512" s="37" t="s">
        <v>148</v>
      </c>
      <c r="E512" s="58" t="s">
        <v>11</v>
      </c>
      <c r="F512" s="37" t="s">
        <v>213</v>
      </c>
      <c r="G512" s="85">
        <f>H512+I512</f>
        <v>0</v>
      </c>
      <c r="H512" s="85">
        <f>H513</f>
        <v>0</v>
      </c>
      <c r="I512" s="85">
        <f>I513</f>
        <v>0</v>
      </c>
    </row>
    <row r="513" spans="1:9" ht="22.5" customHeight="1" hidden="1">
      <c r="A513" s="17" t="s">
        <v>214</v>
      </c>
      <c r="B513" s="77" t="s">
        <v>930</v>
      </c>
      <c r="C513" s="37" t="s">
        <v>396</v>
      </c>
      <c r="D513" s="37" t="s">
        <v>148</v>
      </c>
      <c r="E513" s="58" t="s">
        <v>11</v>
      </c>
      <c r="F513" s="37" t="s">
        <v>289</v>
      </c>
      <c r="G513" s="85">
        <f>H513+I513</f>
        <v>0</v>
      </c>
      <c r="H513" s="85"/>
      <c r="I513" s="85"/>
    </row>
    <row r="514" spans="1:9" ht="33.75" customHeight="1">
      <c r="A514" s="17" t="s">
        <v>151</v>
      </c>
      <c r="B514" s="22" t="s">
        <v>417</v>
      </c>
      <c r="C514" s="37" t="s">
        <v>396</v>
      </c>
      <c r="D514" s="37" t="s">
        <v>148</v>
      </c>
      <c r="E514" s="37" t="s">
        <v>10</v>
      </c>
      <c r="F514" s="37" t="s">
        <v>414</v>
      </c>
      <c r="G514" s="85">
        <f>H514</f>
        <v>900</v>
      </c>
      <c r="H514" s="85">
        <f>H515</f>
        <v>900</v>
      </c>
      <c r="I514" s="85"/>
    </row>
    <row r="515" spans="1:9" ht="48" customHeight="1">
      <c r="A515" s="17" t="s">
        <v>152</v>
      </c>
      <c r="B515" s="22" t="s">
        <v>417</v>
      </c>
      <c r="C515" s="37" t="s">
        <v>396</v>
      </c>
      <c r="D515" s="37" t="s">
        <v>148</v>
      </c>
      <c r="E515" s="37" t="s">
        <v>11</v>
      </c>
      <c r="F515" s="37" t="s">
        <v>414</v>
      </c>
      <c r="G515" s="85">
        <f>H515</f>
        <v>900</v>
      </c>
      <c r="H515" s="85">
        <f>H516</f>
        <v>900</v>
      </c>
      <c r="I515" s="85"/>
    </row>
    <row r="516" spans="1:9" ht="32.25" customHeight="1">
      <c r="A516" s="137" t="s">
        <v>645</v>
      </c>
      <c r="B516" s="22" t="s">
        <v>417</v>
      </c>
      <c r="C516" s="37" t="s">
        <v>396</v>
      </c>
      <c r="D516" s="37" t="s">
        <v>148</v>
      </c>
      <c r="E516" s="37" t="s">
        <v>584</v>
      </c>
      <c r="F516" s="37" t="s">
        <v>414</v>
      </c>
      <c r="G516" s="85">
        <f>H516+I516</f>
        <v>900</v>
      </c>
      <c r="H516" s="85">
        <f>H517</f>
        <v>900</v>
      </c>
      <c r="I516" s="85"/>
    </row>
    <row r="517" spans="1:9" ht="42.75" customHeight="1">
      <c r="A517" s="17" t="s">
        <v>212</v>
      </c>
      <c r="B517" s="22" t="s">
        <v>417</v>
      </c>
      <c r="C517" s="37" t="s">
        <v>396</v>
      </c>
      <c r="D517" s="37" t="s">
        <v>148</v>
      </c>
      <c r="E517" s="37" t="s">
        <v>584</v>
      </c>
      <c r="F517" s="37" t="s">
        <v>213</v>
      </c>
      <c r="G517" s="85">
        <f>H517+I517</f>
        <v>900</v>
      </c>
      <c r="H517" s="85">
        <f>H518</f>
        <v>900</v>
      </c>
      <c r="I517" s="85"/>
    </row>
    <row r="518" spans="1:9" ht="24.75" customHeight="1">
      <c r="A518" s="17" t="s">
        <v>214</v>
      </c>
      <c r="B518" s="22" t="s">
        <v>417</v>
      </c>
      <c r="C518" s="37" t="s">
        <v>396</v>
      </c>
      <c r="D518" s="37" t="s">
        <v>148</v>
      </c>
      <c r="E518" s="37" t="s">
        <v>584</v>
      </c>
      <c r="F518" s="37" t="s">
        <v>289</v>
      </c>
      <c r="G518" s="85">
        <f>H518+I518</f>
        <v>900</v>
      </c>
      <c r="H518" s="85">
        <v>900</v>
      </c>
      <c r="I518" s="85"/>
    </row>
    <row r="519" spans="1:9" ht="13.5">
      <c r="A519" s="79" t="s">
        <v>450</v>
      </c>
      <c r="B519" s="173" t="s">
        <v>417</v>
      </c>
      <c r="C519" s="80" t="s">
        <v>396</v>
      </c>
      <c r="D519" s="80" t="s">
        <v>150</v>
      </c>
      <c r="E519" s="80" t="s">
        <v>322</v>
      </c>
      <c r="F519" s="80" t="s">
        <v>414</v>
      </c>
      <c r="G519" s="93">
        <f>H519+I519</f>
        <v>292687.80504</v>
      </c>
      <c r="H519" s="123">
        <f>H520+H550+H565</f>
        <v>87987.94403999999</v>
      </c>
      <c r="I519" s="123">
        <f>I520+I550+I562</f>
        <v>204699.861</v>
      </c>
    </row>
    <row r="520" spans="1:9" ht="41.25">
      <c r="A520" s="55" t="s">
        <v>477</v>
      </c>
      <c r="B520" s="171" t="s">
        <v>417</v>
      </c>
      <c r="C520" s="59" t="s">
        <v>396</v>
      </c>
      <c r="D520" s="59" t="s">
        <v>150</v>
      </c>
      <c r="E520" s="59" t="s">
        <v>31</v>
      </c>
      <c r="F520" s="59" t="s">
        <v>414</v>
      </c>
      <c r="G520" s="94">
        <f t="shared" si="33"/>
        <v>87987.94403999999</v>
      </c>
      <c r="H520" s="122">
        <f>H521+H537+H544</f>
        <v>87987.94403999999</v>
      </c>
      <c r="I520" s="122">
        <f>I521+I525+I537+I544</f>
        <v>0</v>
      </c>
    </row>
    <row r="521" spans="1:9" ht="41.25">
      <c r="A521" s="81" t="s">
        <v>263</v>
      </c>
      <c r="B521" s="77" t="s">
        <v>417</v>
      </c>
      <c r="C521" s="37" t="s">
        <v>396</v>
      </c>
      <c r="D521" s="37" t="s">
        <v>150</v>
      </c>
      <c r="E521" s="37" t="s">
        <v>49</v>
      </c>
      <c r="F521" s="37" t="s">
        <v>414</v>
      </c>
      <c r="G521" s="85">
        <f>H521+I521</f>
        <v>86418.94403999999</v>
      </c>
      <c r="H521" s="110">
        <f>H522+H525+H534+H532+H529</f>
        <v>86418.94403999999</v>
      </c>
      <c r="I521" s="110">
        <f>I522+I525</f>
        <v>0</v>
      </c>
    </row>
    <row r="522" spans="1:9" ht="27">
      <c r="A522" s="17" t="s">
        <v>256</v>
      </c>
      <c r="B522" s="77" t="s">
        <v>417</v>
      </c>
      <c r="C522" s="37" t="s">
        <v>396</v>
      </c>
      <c r="D522" s="37" t="s">
        <v>150</v>
      </c>
      <c r="E522" s="37" t="s">
        <v>50</v>
      </c>
      <c r="F522" s="37" t="s">
        <v>414</v>
      </c>
      <c r="G522" s="85">
        <f t="shared" si="33"/>
        <v>11233.487</v>
      </c>
      <c r="H522" s="85">
        <f>H523</f>
        <v>11233.487</v>
      </c>
      <c r="I522" s="110">
        <f>I523</f>
        <v>0</v>
      </c>
    </row>
    <row r="523" spans="1:9" ht="41.25">
      <c r="A523" s="17" t="s">
        <v>212</v>
      </c>
      <c r="B523" s="77" t="s">
        <v>417</v>
      </c>
      <c r="C523" s="37" t="s">
        <v>396</v>
      </c>
      <c r="D523" s="37" t="s">
        <v>150</v>
      </c>
      <c r="E523" s="37" t="s">
        <v>50</v>
      </c>
      <c r="F523" s="37" t="s">
        <v>213</v>
      </c>
      <c r="G523" s="85">
        <f t="shared" si="33"/>
        <v>11233.487</v>
      </c>
      <c r="H523" s="110">
        <f>H524</f>
        <v>11233.487</v>
      </c>
      <c r="I523" s="110">
        <f>I524</f>
        <v>0</v>
      </c>
    </row>
    <row r="524" spans="1:9" ht="13.5">
      <c r="A524" s="46" t="s">
        <v>214</v>
      </c>
      <c r="B524" s="77" t="s">
        <v>417</v>
      </c>
      <c r="C524" s="37" t="s">
        <v>396</v>
      </c>
      <c r="D524" s="37" t="s">
        <v>150</v>
      </c>
      <c r="E524" s="37" t="s">
        <v>51</v>
      </c>
      <c r="F524" s="37" t="s">
        <v>289</v>
      </c>
      <c r="G524" s="85">
        <f t="shared" si="33"/>
        <v>11233.487</v>
      </c>
      <c r="H524" s="110">
        <f>700+100+393.313+48.5+210+10268.72-487.046</f>
        <v>11233.487</v>
      </c>
      <c r="I524" s="110"/>
    </row>
    <row r="525" spans="1:9" ht="82.5">
      <c r="A525" s="17" t="s">
        <v>949</v>
      </c>
      <c r="B525" s="22" t="s">
        <v>417</v>
      </c>
      <c r="C525" s="37" t="s">
        <v>396</v>
      </c>
      <c r="D525" s="37" t="s">
        <v>150</v>
      </c>
      <c r="E525" s="37" t="s">
        <v>50</v>
      </c>
      <c r="F525" s="37" t="s">
        <v>414</v>
      </c>
      <c r="G525" s="85">
        <f t="shared" si="33"/>
        <v>74633.97776</v>
      </c>
      <c r="H525" s="85">
        <f>H526</f>
        <v>74633.97776</v>
      </c>
      <c r="I525" s="85">
        <f>I526</f>
        <v>0</v>
      </c>
    </row>
    <row r="526" spans="1:9" ht="41.25">
      <c r="A526" s="17" t="s">
        <v>212</v>
      </c>
      <c r="B526" s="77" t="s">
        <v>417</v>
      </c>
      <c r="C526" s="37" t="s">
        <v>396</v>
      </c>
      <c r="D526" s="37" t="s">
        <v>150</v>
      </c>
      <c r="E526" s="37" t="s">
        <v>50</v>
      </c>
      <c r="F526" s="37" t="s">
        <v>213</v>
      </c>
      <c r="G526" s="85">
        <f t="shared" si="33"/>
        <v>74633.97776</v>
      </c>
      <c r="H526" s="110">
        <f>H527</f>
        <v>74633.97776</v>
      </c>
      <c r="I526" s="110">
        <f>I527</f>
        <v>0</v>
      </c>
    </row>
    <row r="527" spans="1:9" ht="20.25" customHeight="1">
      <c r="A527" s="17" t="s">
        <v>214</v>
      </c>
      <c r="B527" s="77" t="s">
        <v>417</v>
      </c>
      <c r="C527" s="37" t="s">
        <v>396</v>
      </c>
      <c r="D527" s="37" t="s">
        <v>150</v>
      </c>
      <c r="E527" s="37" t="s">
        <v>52</v>
      </c>
      <c r="F527" s="37" t="s">
        <v>289</v>
      </c>
      <c r="G527" s="85">
        <f t="shared" si="33"/>
        <v>74633.97776</v>
      </c>
      <c r="H527" s="85">
        <f>53288.5+0.03321+7299.18953-2500+30.30302-287.5+4678.14+625.912+11091.4+408</f>
        <v>74633.97776</v>
      </c>
      <c r="I527" s="110"/>
    </row>
    <row r="528" spans="1:9" ht="13.5" hidden="1">
      <c r="A528" s="17"/>
      <c r="B528" s="77" t="s">
        <v>417</v>
      </c>
      <c r="C528" s="37" t="s">
        <v>396</v>
      </c>
      <c r="D528" s="37" t="s">
        <v>150</v>
      </c>
      <c r="E528" s="37" t="s">
        <v>52</v>
      </c>
      <c r="F528" s="37" t="s">
        <v>289</v>
      </c>
      <c r="G528" s="85"/>
      <c r="H528" s="85"/>
      <c r="I528" s="110"/>
    </row>
    <row r="529" spans="1:9" ht="69">
      <c r="A529" s="17" t="s">
        <v>706</v>
      </c>
      <c r="B529" s="22" t="s">
        <v>417</v>
      </c>
      <c r="C529" s="37" t="s">
        <v>396</v>
      </c>
      <c r="D529" s="37" t="s">
        <v>150</v>
      </c>
      <c r="E529" s="37" t="s">
        <v>697</v>
      </c>
      <c r="F529" s="37" t="s">
        <v>414</v>
      </c>
      <c r="G529" s="85">
        <f>H529</f>
        <v>107</v>
      </c>
      <c r="H529" s="85">
        <f>H530</f>
        <v>107</v>
      </c>
      <c r="I529" s="85"/>
    </row>
    <row r="530" spans="1:9" ht="41.25">
      <c r="A530" s="17" t="s">
        <v>212</v>
      </c>
      <c r="B530" s="22" t="s">
        <v>417</v>
      </c>
      <c r="C530" s="37" t="s">
        <v>396</v>
      </c>
      <c r="D530" s="37" t="s">
        <v>150</v>
      </c>
      <c r="E530" s="37" t="s">
        <v>697</v>
      </c>
      <c r="F530" s="37" t="s">
        <v>213</v>
      </c>
      <c r="G530" s="85">
        <f>H530</f>
        <v>107</v>
      </c>
      <c r="H530" s="85">
        <f>H531</f>
        <v>107</v>
      </c>
      <c r="I530" s="85"/>
    </row>
    <row r="531" spans="1:9" ht="13.5">
      <c r="A531" s="17" t="s">
        <v>214</v>
      </c>
      <c r="B531" s="22" t="s">
        <v>417</v>
      </c>
      <c r="C531" s="37" t="s">
        <v>396</v>
      </c>
      <c r="D531" s="37" t="s">
        <v>150</v>
      </c>
      <c r="E531" s="37" t="s">
        <v>697</v>
      </c>
      <c r="F531" s="37" t="s">
        <v>289</v>
      </c>
      <c r="G531" s="85">
        <f>H531</f>
        <v>107</v>
      </c>
      <c r="H531" s="85">
        <f>76+100-69</f>
        <v>107</v>
      </c>
      <c r="I531" s="85"/>
    </row>
    <row r="532" spans="1:9" ht="41.25">
      <c r="A532" s="17" t="s">
        <v>212</v>
      </c>
      <c r="B532" s="77" t="s">
        <v>417</v>
      </c>
      <c r="C532" s="37" t="s">
        <v>396</v>
      </c>
      <c r="D532" s="37" t="s">
        <v>150</v>
      </c>
      <c r="E532" s="37" t="s">
        <v>881</v>
      </c>
      <c r="F532" s="37" t="s">
        <v>213</v>
      </c>
      <c r="G532" s="85">
        <f>H532+I532</f>
        <v>372</v>
      </c>
      <c r="H532" s="85">
        <f>H533</f>
        <v>372</v>
      </c>
      <c r="I532" s="110">
        <f>I533</f>
        <v>0</v>
      </c>
    </row>
    <row r="533" spans="1:9" ht="28.5">
      <c r="A533" s="75" t="s">
        <v>886</v>
      </c>
      <c r="B533" s="87" t="s">
        <v>417</v>
      </c>
      <c r="C533" s="73" t="s">
        <v>396</v>
      </c>
      <c r="D533" s="73" t="s">
        <v>150</v>
      </c>
      <c r="E533" s="73" t="s">
        <v>881</v>
      </c>
      <c r="F533" s="73" t="s">
        <v>289</v>
      </c>
      <c r="G533" s="88">
        <f>H533+I533</f>
        <v>372</v>
      </c>
      <c r="H533" s="88">
        <v>372</v>
      </c>
      <c r="I533" s="88">
        <v>0</v>
      </c>
    </row>
    <row r="534" spans="1:9" ht="69">
      <c r="A534" s="17" t="s">
        <v>816</v>
      </c>
      <c r="B534" s="77" t="s">
        <v>417</v>
      </c>
      <c r="C534" s="37" t="s">
        <v>396</v>
      </c>
      <c r="D534" s="37" t="s">
        <v>150</v>
      </c>
      <c r="E534" s="22" t="s">
        <v>817</v>
      </c>
      <c r="F534" s="37" t="s">
        <v>414</v>
      </c>
      <c r="G534" s="85">
        <f t="shared" si="33"/>
        <v>72.47928</v>
      </c>
      <c r="H534" s="85">
        <f>H535</f>
        <v>72.47928</v>
      </c>
      <c r="I534" s="85">
        <f>I535</f>
        <v>0</v>
      </c>
    </row>
    <row r="535" spans="1:9" ht="41.25">
      <c r="A535" s="17" t="s">
        <v>212</v>
      </c>
      <c r="B535" s="77" t="s">
        <v>417</v>
      </c>
      <c r="C535" s="37" t="s">
        <v>396</v>
      </c>
      <c r="D535" s="37" t="s">
        <v>150</v>
      </c>
      <c r="E535" s="22" t="s">
        <v>817</v>
      </c>
      <c r="F535" s="37" t="s">
        <v>213</v>
      </c>
      <c r="G535" s="85">
        <f t="shared" si="33"/>
        <v>72.47928</v>
      </c>
      <c r="H535" s="85">
        <f>H536</f>
        <v>72.47928</v>
      </c>
      <c r="I535" s="85">
        <f>I536</f>
        <v>0</v>
      </c>
    </row>
    <row r="536" spans="1:9" ht="13.5">
      <c r="A536" s="17" t="s">
        <v>214</v>
      </c>
      <c r="B536" s="77" t="s">
        <v>417</v>
      </c>
      <c r="C536" s="37" t="s">
        <v>396</v>
      </c>
      <c r="D536" s="37" t="s">
        <v>150</v>
      </c>
      <c r="E536" s="22" t="s">
        <v>817</v>
      </c>
      <c r="F536" s="37" t="s">
        <v>289</v>
      </c>
      <c r="G536" s="85">
        <f t="shared" si="33"/>
        <v>72.47928</v>
      </c>
      <c r="H536" s="85">
        <f>50+68.47928-46</f>
        <v>72.47928</v>
      </c>
      <c r="I536" s="110">
        <v>0</v>
      </c>
    </row>
    <row r="537" spans="1:9" ht="31.5" customHeight="1">
      <c r="A537" s="81" t="s">
        <v>261</v>
      </c>
      <c r="B537" s="77" t="s">
        <v>417</v>
      </c>
      <c r="C537" s="37" t="s">
        <v>396</v>
      </c>
      <c r="D537" s="37" t="s">
        <v>150</v>
      </c>
      <c r="E537" s="37" t="s">
        <v>53</v>
      </c>
      <c r="F537" s="37" t="s">
        <v>414</v>
      </c>
      <c r="G537" s="85">
        <f t="shared" si="33"/>
        <v>1569</v>
      </c>
      <c r="H537" s="85">
        <f>H538+H541</f>
        <v>1569</v>
      </c>
      <c r="I537" s="110">
        <f>I538+I541</f>
        <v>0</v>
      </c>
    </row>
    <row r="538" spans="1:9" ht="27">
      <c r="A538" s="55" t="s">
        <v>262</v>
      </c>
      <c r="B538" s="171" t="s">
        <v>417</v>
      </c>
      <c r="C538" s="59" t="s">
        <v>396</v>
      </c>
      <c r="D538" s="59" t="s">
        <v>150</v>
      </c>
      <c r="E538" s="59" t="s">
        <v>54</v>
      </c>
      <c r="F538" s="59" t="s">
        <v>414</v>
      </c>
      <c r="G538" s="94">
        <f t="shared" si="33"/>
        <v>250</v>
      </c>
      <c r="H538" s="122">
        <f>H539</f>
        <v>250</v>
      </c>
      <c r="I538" s="122">
        <f>I539</f>
        <v>0</v>
      </c>
    </row>
    <row r="539" spans="1:9" ht="41.25">
      <c r="A539" s="17" t="s">
        <v>212</v>
      </c>
      <c r="B539" s="77" t="s">
        <v>417</v>
      </c>
      <c r="C539" s="37" t="s">
        <v>396</v>
      </c>
      <c r="D539" s="37" t="s">
        <v>150</v>
      </c>
      <c r="E539" s="37" t="s">
        <v>54</v>
      </c>
      <c r="F539" s="37" t="s">
        <v>213</v>
      </c>
      <c r="G539" s="85">
        <f t="shared" si="33"/>
        <v>250</v>
      </c>
      <c r="H539" s="110">
        <f>H540</f>
        <v>250</v>
      </c>
      <c r="I539" s="110">
        <f>I540</f>
        <v>0</v>
      </c>
    </row>
    <row r="540" spans="1:9" ht="13.5">
      <c r="A540" s="46" t="s">
        <v>214</v>
      </c>
      <c r="B540" s="77" t="s">
        <v>417</v>
      </c>
      <c r="C540" s="37" t="s">
        <v>396</v>
      </c>
      <c r="D540" s="37" t="s">
        <v>150</v>
      </c>
      <c r="E540" s="37" t="s">
        <v>55</v>
      </c>
      <c r="F540" s="37" t="s">
        <v>289</v>
      </c>
      <c r="G540" s="85">
        <f t="shared" si="33"/>
        <v>250</v>
      </c>
      <c r="H540" s="110">
        <v>250</v>
      </c>
      <c r="I540" s="110"/>
    </row>
    <row r="541" spans="1:9" ht="27">
      <c r="A541" s="55" t="s">
        <v>257</v>
      </c>
      <c r="B541" s="171" t="s">
        <v>417</v>
      </c>
      <c r="C541" s="59" t="s">
        <v>396</v>
      </c>
      <c r="D541" s="59" t="s">
        <v>150</v>
      </c>
      <c r="E541" s="59" t="s">
        <v>54</v>
      </c>
      <c r="F541" s="59" t="s">
        <v>414</v>
      </c>
      <c r="G541" s="94">
        <f t="shared" si="33"/>
        <v>1319</v>
      </c>
      <c r="H541" s="122">
        <f>H542</f>
        <v>1319</v>
      </c>
      <c r="I541" s="122">
        <f>I542</f>
        <v>0</v>
      </c>
    </row>
    <row r="542" spans="1:9" ht="41.25">
      <c r="A542" s="17" t="s">
        <v>212</v>
      </c>
      <c r="B542" s="77" t="s">
        <v>417</v>
      </c>
      <c r="C542" s="37" t="s">
        <v>396</v>
      </c>
      <c r="D542" s="37" t="s">
        <v>150</v>
      </c>
      <c r="E542" s="37" t="s">
        <v>54</v>
      </c>
      <c r="F542" s="37" t="s">
        <v>213</v>
      </c>
      <c r="G542" s="85">
        <f t="shared" si="33"/>
        <v>1319</v>
      </c>
      <c r="H542" s="110">
        <f>H543</f>
        <v>1319</v>
      </c>
      <c r="I542" s="110">
        <f>I543</f>
        <v>0</v>
      </c>
    </row>
    <row r="543" spans="1:9" ht="13.5">
      <c r="A543" s="46" t="s">
        <v>442</v>
      </c>
      <c r="B543" s="77" t="s">
        <v>417</v>
      </c>
      <c r="C543" s="37" t="s">
        <v>396</v>
      </c>
      <c r="D543" s="37" t="s">
        <v>150</v>
      </c>
      <c r="E543" s="37" t="s">
        <v>56</v>
      </c>
      <c r="F543" s="37" t="s">
        <v>289</v>
      </c>
      <c r="G543" s="85">
        <f t="shared" si="33"/>
        <v>1319</v>
      </c>
      <c r="H543" s="110">
        <f>750+500+69</f>
        <v>1319</v>
      </c>
      <c r="I543" s="110"/>
    </row>
    <row r="544" spans="1:9" ht="27" hidden="1">
      <c r="A544" s="81" t="s">
        <v>291</v>
      </c>
      <c r="B544" s="77" t="s">
        <v>417</v>
      </c>
      <c r="C544" s="37" t="s">
        <v>396</v>
      </c>
      <c r="D544" s="37" t="s">
        <v>150</v>
      </c>
      <c r="E544" s="37" t="s">
        <v>57</v>
      </c>
      <c r="F544" s="37" t="s">
        <v>414</v>
      </c>
      <c r="G544" s="85">
        <f t="shared" si="33"/>
        <v>0</v>
      </c>
      <c r="H544" s="110">
        <f>H545</f>
        <v>0</v>
      </c>
      <c r="I544" s="110"/>
    </row>
    <row r="545" spans="1:9" ht="41.25" hidden="1">
      <c r="A545" s="17" t="s">
        <v>212</v>
      </c>
      <c r="B545" s="77" t="s">
        <v>417</v>
      </c>
      <c r="C545" s="37" t="s">
        <v>396</v>
      </c>
      <c r="D545" s="37" t="s">
        <v>150</v>
      </c>
      <c r="E545" s="37" t="s">
        <v>58</v>
      </c>
      <c r="F545" s="37" t="s">
        <v>414</v>
      </c>
      <c r="G545" s="85">
        <f t="shared" si="33"/>
        <v>0</v>
      </c>
      <c r="H545" s="85">
        <f>H546+H547</f>
        <v>0</v>
      </c>
      <c r="I545" s="110"/>
    </row>
    <row r="546" spans="1:9" ht="27" hidden="1">
      <c r="A546" s="17" t="s">
        <v>128</v>
      </c>
      <c r="B546" s="77" t="s">
        <v>417</v>
      </c>
      <c r="C546" s="37" t="s">
        <v>396</v>
      </c>
      <c r="D546" s="37" t="s">
        <v>150</v>
      </c>
      <c r="E546" s="37" t="s">
        <v>59</v>
      </c>
      <c r="F546" s="37" t="s">
        <v>289</v>
      </c>
      <c r="G546" s="85">
        <f t="shared" si="33"/>
        <v>0</v>
      </c>
      <c r="H546" s="85"/>
      <c r="I546" s="110"/>
    </row>
    <row r="547" spans="1:9" ht="27" hidden="1">
      <c r="A547" s="17" t="s">
        <v>129</v>
      </c>
      <c r="B547" s="77" t="s">
        <v>417</v>
      </c>
      <c r="C547" s="37" t="s">
        <v>396</v>
      </c>
      <c r="D547" s="37" t="s">
        <v>150</v>
      </c>
      <c r="E547" s="37" t="s">
        <v>60</v>
      </c>
      <c r="F547" s="37" t="s">
        <v>289</v>
      </c>
      <c r="G547" s="85">
        <f t="shared" si="33"/>
        <v>0</v>
      </c>
      <c r="H547" s="85"/>
      <c r="I547" s="110"/>
    </row>
    <row r="548" spans="1:9" ht="41.25">
      <c r="A548" s="55" t="s">
        <v>477</v>
      </c>
      <c r="B548" s="171" t="s">
        <v>417</v>
      </c>
      <c r="C548" s="59" t="s">
        <v>396</v>
      </c>
      <c r="D548" s="59" t="s">
        <v>150</v>
      </c>
      <c r="E548" s="59" t="s">
        <v>31</v>
      </c>
      <c r="F548" s="59" t="s">
        <v>414</v>
      </c>
      <c r="G548" s="85">
        <f t="shared" si="33"/>
        <v>188085.861</v>
      </c>
      <c r="H548" s="85">
        <f>H549</f>
        <v>0</v>
      </c>
      <c r="I548" s="85">
        <f>I549</f>
        <v>188085.861</v>
      </c>
    </row>
    <row r="549" spans="1:9" ht="41.25">
      <c r="A549" s="81" t="s">
        <v>263</v>
      </c>
      <c r="B549" s="77" t="s">
        <v>417</v>
      </c>
      <c r="C549" s="37" t="s">
        <v>396</v>
      </c>
      <c r="D549" s="37" t="s">
        <v>150</v>
      </c>
      <c r="E549" s="37" t="s">
        <v>49</v>
      </c>
      <c r="F549" s="37" t="s">
        <v>414</v>
      </c>
      <c r="G549" s="85">
        <f t="shared" si="33"/>
        <v>188085.861</v>
      </c>
      <c r="H549" s="85">
        <f>H550</f>
        <v>0</v>
      </c>
      <c r="I549" s="85">
        <f>I550</f>
        <v>188085.861</v>
      </c>
    </row>
    <row r="550" spans="1:9" ht="13.5">
      <c r="A550" s="17" t="s">
        <v>169</v>
      </c>
      <c r="B550" s="77" t="s">
        <v>417</v>
      </c>
      <c r="C550" s="37" t="s">
        <v>396</v>
      </c>
      <c r="D550" s="37" t="s">
        <v>150</v>
      </c>
      <c r="E550" s="37" t="s">
        <v>322</v>
      </c>
      <c r="F550" s="37" t="s">
        <v>414</v>
      </c>
      <c r="G550" s="85">
        <f>H550+I550</f>
        <v>188085.861</v>
      </c>
      <c r="H550" s="110">
        <f>H551+H553+H559</f>
        <v>0</v>
      </c>
      <c r="I550" s="110">
        <f>I551+I553+I556+I559</f>
        <v>188085.861</v>
      </c>
    </row>
    <row r="551" spans="1:9" ht="55.5" customHeight="1" hidden="1">
      <c r="A551" s="17" t="s">
        <v>182</v>
      </c>
      <c r="B551" s="77" t="s">
        <v>417</v>
      </c>
      <c r="C551" s="37" t="s">
        <v>396</v>
      </c>
      <c r="D551" s="37" t="s">
        <v>150</v>
      </c>
      <c r="E551" s="37" t="s">
        <v>130</v>
      </c>
      <c r="F551" s="37" t="s">
        <v>414</v>
      </c>
      <c r="G551" s="85">
        <f t="shared" si="33"/>
        <v>0</v>
      </c>
      <c r="H551" s="110">
        <f>H552</f>
        <v>0</v>
      </c>
      <c r="I551" s="110">
        <f>I552</f>
        <v>0</v>
      </c>
    </row>
    <row r="552" spans="1:9" ht="13.5" hidden="1">
      <c r="A552" s="17" t="s">
        <v>169</v>
      </c>
      <c r="B552" s="77" t="s">
        <v>417</v>
      </c>
      <c r="C552" s="37" t="s">
        <v>396</v>
      </c>
      <c r="D552" s="37" t="s">
        <v>150</v>
      </c>
      <c r="E552" s="37" t="s">
        <v>130</v>
      </c>
      <c r="F552" s="37" t="s">
        <v>378</v>
      </c>
      <c r="G552" s="85">
        <f t="shared" si="33"/>
        <v>0</v>
      </c>
      <c r="H552" s="110"/>
      <c r="I552" s="110"/>
    </row>
    <row r="553" spans="1:9" ht="54.75" customHeight="1">
      <c r="A553" s="17" t="s">
        <v>589</v>
      </c>
      <c r="B553" s="77" t="s">
        <v>417</v>
      </c>
      <c r="C553" s="37" t="s">
        <v>396</v>
      </c>
      <c r="D553" s="37" t="s">
        <v>150</v>
      </c>
      <c r="E553" s="37" t="s">
        <v>49</v>
      </c>
      <c r="F553" s="37" t="s">
        <v>414</v>
      </c>
      <c r="G553" s="85">
        <f t="shared" si="33"/>
        <v>7270.9</v>
      </c>
      <c r="H553" s="110">
        <f>H554</f>
        <v>0</v>
      </c>
      <c r="I553" s="110">
        <f>I554</f>
        <v>7270.9</v>
      </c>
    </row>
    <row r="554" spans="1:9" ht="41.25">
      <c r="A554" s="17" t="s">
        <v>212</v>
      </c>
      <c r="B554" s="22" t="s">
        <v>417</v>
      </c>
      <c r="C554" s="37" t="s">
        <v>396</v>
      </c>
      <c r="D554" s="37" t="s">
        <v>150</v>
      </c>
      <c r="E554" s="37" t="s">
        <v>590</v>
      </c>
      <c r="F554" s="37" t="s">
        <v>213</v>
      </c>
      <c r="G554" s="85">
        <f t="shared" si="33"/>
        <v>7270.9</v>
      </c>
      <c r="H554" s="85"/>
      <c r="I554" s="85">
        <f>I555</f>
        <v>7270.9</v>
      </c>
    </row>
    <row r="555" spans="1:9" ht="13.5">
      <c r="A555" s="46" t="s">
        <v>214</v>
      </c>
      <c r="B555" s="22" t="s">
        <v>417</v>
      </c>
      <c r="C555" s="37" t="s">
        <v>396</v>
      </c>
      <c r="D555" s="37" t="s">
        <v>150</v>
      </c>
      <c r="E555" s="37" t="s">
        <v>590</v>
      </c>
      <c r="F555" s="37" t="s">
        <v>289</v>
      </c>
      <c r="G555" s="85">
        <f t="shared" si="33"/>
        <v>7270.9</v>
      </c>
      <c r="H555" s="85"/>
      <c r="I555" s="85">
        <v>7270.9</v>
      </c>
    </row>
    <row r="556" spans="1:9" ht="69.75" customHeight="1">
      <c r="A556" s="55" t="s">
        <v>800</v>
      </c>
      <c r="B556" s="74" t="s">
        <v>417</v>
      </c>
      <c r="C556" s="59" t="s">
        <v>396</v>
      </c>
      <c r="D556" s="59" t="s">
        <v>150</v>
      </c>
      <c r="E556" s="59" t="s">
        <v>801</v>
      </c>
      <c r="F556" s="59" t="s">
        <v>414</v>
      </c>
      <c r="G556" s="94">
        <f>H556+I556</f>
        <v>10876.6</v>
      </c>
      <c r="H556" s="94">
        <v>0</v>
      </c>
      <c r="I556" s="94">
        <f>I557</f>
        <v>10876.6</v>
      </c>
    </row>
    <row r="557" spans="1:9" ht="41.25">
      <c r="A557" s="17" t="s">
        <v>212</v>
      </c>
      <c r="B557" s="22" t="s">
        <v>417</v>
      </c>
      <c r="C557" s="37" t="s">
        <v>396</v>
      </c>
      <c r="D557" s="37" t="s">
        <v>150</v>
      </c>
      <c r="E557" s="37" t="s">
        <v>801</v>
      </c>
      <c r="F557" s="37" t="s">
        <v>213</v>
      </c>
      <c r="G557" s="85">
        <f>H557+I557</f>
        <v>10876.6</v>
      </c>
      <c r="H557" s="85"/>
      <c r="I557" s="85">
        <f>I558</f>
        <v>10876.6</v>
      </c>
    </row>
    <row r="558" spans="1:9" ht="13.5">
      <c r="A558" s="17" t="s">
        <v>214</v>
      </c>
      <c r="B558" s="22" t="s">
        <v>417</v>
      </c>
      <c r="C558" s="37" t="s">
        <v>396</v>
      </c>
      <c r="D558" s="37" t="s">
        <v>150</v>
      </c>
      <c r="E558" s="37" t="s">
        <v>801</v>
      </c>
      <c r="F558" s="37" t="s">
        <v>289</v>
      </c>
      <c r="G558" s="85">
        <f>H558+I558</f>
        <v>10876.6</v>
      </c>
      <c r="H558" s="85"/>
      <c r="I558" s="85">
        <f>18147.5-7270.9</f>
        <v>10876.6</v>
      </c>
    </row>
    <row r="559" spans="1:9" ht="69">
      <c r="A559" s="17" t="s">
        <v>183</v>
      </c>
      <c r="B559" s="77" t="s">
        <v>417</v>
      </c>
      <c r="C559" s="37" t="s">
        <v>396</v>
      </c>
      <c r="D559" s="37" t="s">
        <v>150</v>
      </c>
      <c r="E559" s="37" t="s">
        <v>63</v>
      </c>
      <c r="F559" s="37" t="s">
        <v>414</v>
      </c>
      <c r="G559" s="85">
        <f t="shared" si="33"/>
        <v>169938.361</v>
      </c>
      <c r="H559" s="110">
        <f>H560</f>
        <v>0</v>
      </c>
      <c r="I559" s="110">
        <f>I560</f>
        <v>169938.361</v>
      </c>
    </row>
    <row r="560" spans="1:9" ht="41.25">
      <c r="A560" s="17" t="s">
        <v>212</v>
      </c>
      <c r="B560" s="77" t="s">
        <v>417</v>
      </c>
      <c r="C560" s="37" t="s">
        <v>396</v>
      </c>
      <c r="D560" s="37" t="s">
        <v>150</v>
      </c>
      <c r="E560" s="37" t="s">
        <v>63</v>
      </c>
      <c r="F560" s="37" t="s">
        <v>213</v>
      </c>
      <c r="G560" s="85">
        <f t="shared" si="33"/>
        <v>169938.361</v>
      </c>
      <c r="H560" s="110"/>
      <c r="I560" s="85">
        <f>I561</f>
        <v>169938.361</v>
      </c>
    </row>
    <row r="561" spans="1:9" ht="13.5">
      <c r="A561" s="17" t="s">
        <v>214</v>
      </c>
      <c r="B561" s="77" t="s">
        <v>417</v>
      </c>
      <c r="C561" s="37" t="s">
        <v>396</v>
      </c>
      <c r="D561" s="37" t="s">
        <v>150</v>
      </c>
      <c r="E561" s="37" t="s">
        <v>63</v>
      </c>
      <c r="F561" s="37" t="s">
        <v>289</v>
      </c>
      <c r="G561" s="85">
        <f t="shared" si="33"/>
        <v>169938.361</v>
      </c>
      <c r="H561" s="110"/>
      <c r="I561" s="85">
        <f>161257.823-3185.1+11865.638</f>
        <v>169938.361</v>
      </c>
    </row>
    <row r="562" spans="1:9" s="106" customFormat="1" ht="87" customHeight="1">
      <c r="A562" s="55" t="s">
        <v>794</v>
      </c>
      <c r="B562" s="74" t="s">
        <v>417</v>
      </c>
      <c r="C562" s="59" t="s">
        <v>396</v>
      </c>
      <c r="D562" s="59" t="s">
        <v>150</v>
      </c>
      <c r="E562" s="59" t="s">
        <v>802</v>
      </c>
      <c r="F562" s="59" t="s">
        <v>414</v>
      </c>
      <c r="G562" s="94">
        <f aca="true" t="shared" si="34" ref="G562:G567">H562+I562</f>
        <v>16614</v>
      </c>
      <c r="H562" s="94">
        <v>0</v>
      </c>
      <c r="I562" s="94">
        <f>I563</f>
        <v>16614</v>
      </c>
    </row>
    <row r="563" spans="1:9" ht="41.25">
      <c r="A563" s="17" t="s">
        <v>212</v>
      </c>
      <c r="B563" s="22" t="s">
        <v>417</v>
      </c>
      <c r="C563" s="37" t="s">
        <v>396</v>
      </c>
      <c r="D563" s="37" t="s">
        <v>150</v>
      </c>
      <c r="E563" s="37" t="s">
        <v>802</v>
      </c>
      <c r="F563" s="37" t="s">
        <v>213</v>
      </c>
      <c r="G563" s="85">
        <f t="shared" si="34"/>
        <v>16614</v>
      </c>
      <c r="H563" s="85"/>
      <c r="I563" s="85">
        <f>I564</f>
        <v>16614</v>
      </c>
    </row>
    <row r="564" spans="1:9" ht="13.5">
      <c r="A564" s="17" t="s">
        <v>214</v>
      </c>
      <c r="B564" s="22" t="s">
        <v>417</v>
      </c>
      <c r="C564" s="37" t="s">
        <v>396</v>
      </c>
      <c r="D564" s="37" t="s">
        <v>150</v>
      </c>
      <c r="E564" s="37" t="s">
        <v>802</v>
      </c>
      <c r="F564" s="37" t="s">
        <v>289</v>
      </c>
      <c r="G564" s="85">
        <f t="shared" si="34"/>
        <v>16614</v>
      </c>
      <c r="H564" s="85"/>
      <c r="I564" s="85">
        <f>12051+4563</f>
        <v>16614</v>
      </c>
    </row>
    <row r="565" spans="1:9" ht="41.25" hidden="1">
      <c r="A565" s="55" t="s">
        <v>879</v>
      </c>
      <c r="B565" s="74" t="s">
        <v>417</v>
      </c>
      <c r="C565" s="59" t="s">
        <v>396</v>
      </c>
      <c r="D565" s="59" t="s">
        <v>150</v>
      </c>
      <c r="E565" s="74" t="s">
        <v>11</v>
      </c>
      <c r="F565" s="59" t="s">
        <v>414</v>
      </c>
      <c r="G565" s="94">
        <f t="shared" si="34"/>
        <v>0</v>
      </c>
      <c r="H565" s="94">
        <f>H566</f>
        <v>0</v>
      </c>
      <c r="I565" s="94">
        <f>I566</f>
        <v>0</v>
      </c>
    </row>
    <row r="566" spans="1:9" ht="54.75" hidden="1">
      <c r="A566" s="17" t="s">
        <v>877</v>
      </c>
      <c r="B566" s="22" t="s">
        <v>417</v>
      </c>
      <c r="C566" s="37" t="s">
        <v>396</v>
      </c>
      <c r="D566" s="37" t="s">
        <v>150</v>
      </c>
      <c r="E566" s="22" t="s">
        <v>11</v>
      </c>
      <c r="F566" s="37" t="s">
        <v>213</v>
      </c>
      <c r="G566" s="85">
        <f t="shared" si="34"/>
        <v>0</v>
      </c>
      <c r="H566" s="85">
        <f>H567</f>
        <v>0</v>
      </c>
      <c r="I566" s="85">
        <f>I567</f>
        <v>0</v>
      </c>
    </row>
    <row r="567" spans="1:9" ht="13.5" hidden="1">
      <c r="A567" s="17" t="s">
        <v>214</v>
      </c>
      <c r="B567" s="22" t="s">
        <v>417</v>
      </c>
      <c r="C567" s="37" t="s">
        <v>396</v>
      </c>
      <c r="D567" s="37" t="s">
        <v>150</v>
      </c>
      <c r="E567" s="22" t="s">
        <v>11</v>
      </c>
      <c r="F567" s="37" t="s">
        <v>289</v>
      </c>
      <c r="G567" s="85">
        <f t="shared" si="34"/>
        <v>0</v>
      </c>
      <c r="H567" s="85">
        <v>0</v>
      </c>
      <c r="I567" s="85"/>
    </row>
    <row r="568" spans="1:9" ht="41.25">
      <c r="A568" s="55" t="s">
        <v>477</v>
      </c>
      <c r="B568" s="74" t="s">
        <v>417</v>
      </c>
      <c r="C568" s="59" t="s">
        <v>396</v>
      </c>
      <c r="D568" s="59" t="s">
        <v>155</v>
      </c>
      <c r="E568" s="59" t="s">
        <v>31</v>
      </c>
      <c r="F568" s="59" t="s">
        <v>414</v>
      </c>
      <c r="G568" s="94">
        <f t="shared" si="33"/>
        <v>20061.245</v>
      </c>
      <c r="H568" s="94">
        <f>H569</f>
        <v>20061.245</v>
      </c>
      <c r="I568" s="94">
        <f>I569</f>
        <v>0</v>
      </c>
    </row>
    <row r="569" spans="1:9" ht="33" customHeight="1">
      <c r="A569" s="81" t="s">
        <v>291</v>
      </c>
      <c r="B569" s="77" t="s">
        <v>417</v>
      </c>
      <c r="C569" s="37" t="s">
        <v>396</v>
      </c>
      <c r="D569" s="37" t="s">
        <v>155</v>
      </c>
      <c r="E569" s="37" t="s">
        <v>57</v>
      </c>
      <c r="F569" s="37" t="s">
        <v>414</v>
      </c>
      <c r="G569" s="85">
        <f t="shared" si="33"/>
        <v>20061.245</v>
      </c>
      <c r="H569" s="110">
        <f>H570</f>
        <v>20061.245</v>
      </c>
      <c r="I569" s="110">
        <f>I570</f>
        <v>0</v>
      </c>
    </row>
    <row r="570" spans="1:9" ht="41.25">
      <c r="A570" s="17" t="s">
        <v>212</v>
      </c>
      <c r="B570" s="77" t="s">
        <v>417</v>
      </c>
      <c r="C570" s="37" t="s">
        <v>396</v>
      </c>
      <c r="D570" s="37" t="s">
        <v>155</v>
      </c>
      <c r="E570" s="37" t="s">
        <v>58</v>
      </c>
      <c r="F570" s="37" t="s">
        <v>213</v>
      </c>
      <c r="G570" s="85">
        <f t="shared" si="33"/>
        <v>20061.245</v>
      </c>
      <c r="H570" s="110">
        <f>H571+H573+H572+H574+H575</f>
        <v>20061.245</v>
      </c>
      <c r="I570" s="85"/>
    </row>
    <row r="571" spans="1:9" ht="27">
      <c r="A571" s="17" t="s">
        <v>128</v>
      </c>
      <c r="B571" s="77" t="s">
        <v>417</v>
      </c>
      <c r="C571" s="37" t="s">
        <v>396</v>
      </c>
      <c r="D571" s="37" t="s">
        <v>155</v>
      </c>
      <c r="E571" s="37" t="s">
        <v>59</v>
      </c>
      <c r="F571" s="37" t="s">
        <v>289</v>
      </c>
      <c r="G571" s="85">
        <f t="shared" si="33"/>
        <v>6392.8</v>
      </c>
      <c r="H571" s="85">
        <f>3819.1+1302.2+180+1017.8+46+27.7</f>
        <v>6392.8</v>
      </c>
      <c r="I571" s="85">
        <v>0</v>
      </c>
    </row>
    <row r="572" spans="1:9" ht="48.75" customHeight="1">
      <c r="A572" s="75" t="s">
        <v>885</v>
      </c>
      <c r="B572" s="87" t="s">
        <v>417</v>
      </c>
      <c r="C572" s="73" t="s">
        <v>396</v>
      </c>
      <c r="D572" s="73" t="s">
        <v>155</v>
      </c>
      <c r="E572" s="73" t="s">
        <v>884</v>
      </c>
      <c r="F572" s="73" t="s">
        <v>289</v>
      </c>
      <c r="G572" s="88">
        <f t="shared" si="33"/>
        <v>48</v>
      </c>
      <c r="H572" s="88">
        <v>48</v>
      </c>
      <c r="I572" s="88">
        <v>0</v>
      </c>
    </row>
    <row r="573" spans="1:9" ht="27">
      <c r="A573" s="17" t="s">
        <v>916</v>
      </c>
      <c r="B573" s="77" t="s">
        <v>417</v>
      </c>
      <c r="C573" s="37" t="s">
        <v>396</v>
      </c>
      <c r="D573" s="37" t="s">
        <v>155</v>
      </c>
      <c r="E573" s="37" t="s">
        <v>60</v>
      </c>
      <c r="F573" s="37" t="s">
        <v>289</v>
      </c>
      <c r="G573" s="85">
        <f t="shared" si="33"/>
        <v>12401.48</v>
      </c>
      <c r="H573" s="85">
        <f>8578.88+2555.1+617-220+850.5+20</f>
        <v>12401.48</v>
      </c>
      <c r="I573" s="85">
        <v>0</v>
      </c>
    </row>
    <row r="574" spans="1:9" ht="77.25" customHeight="1">
      <c r="A574" s="17" t="s">
        <v>931</v>
      </c>
      <c r="B574" s="22" t="s">
        <v>417</v>
      </c>
      <c r="C574" s="37" t="s">
        <v>396</v>
      </c>
      <c r="D574" s="37" t="s">
        <v>155</v>
      </c>
      <c r="E574" s="37" t="s">
        <v>917</v>
      </c>
      <c r="F574" s="37" t="s">
        <v>289</v>
      </c>
      <c r="G574" s="85">
        <f>H574</f>
        <v>297</v>
      </c>
      <c r="H574" s="85">
        <f>220+46+31</f>
        <v>297</v>
      </c>
      <c r="I574" s="85"/>
    </row>
    <row r="575" spans="1:9" ht="31.5" customHeight="1">
      <c r="A575" s="79" t="s">
        <v>905</v>
      </c>
      <c r="B575" s="86" t="s">
        <v>417</v>
      </c>
      <c r="C575" s="80" t="s">
        <v>396</v>
      </c>
      <c r="D575" s="80" t="s">
        <v>155</v>
      </c>
      <c r="E575" s="80" t="s">
        <v>906</v>
      </c>
      <c r="F575" s="80" t="s">
        <v>414</v>
      </c>
      <c r="G575" s="93">
        <f aca="true" t="shared" si="35" ref="G575:G580">H575+I575</f>
        <v>921.965</v>
      </c>
      <c r="H575" s="93">
        <f>H576</f>
        <v>921.965</v>
      </c>
      <c r="I575" s="93"/>
    </row>
    <row r="576" spans="1:9" ht="45" customHeight="1">
      <c r="A576" s="76" t="s">
        <v>212</v>
      </c>
      <c r="B576" s="22" t="s">
        <v>417</v>
      </c>
      <c r="C576" s="26" t="s">
        <v>396</v>
      </c>
      <c r="D576" s="26" t="s">
        <v>155</v>
      </c>
      <c r="E576" s="26" t="s">
        <v>906</v>
      </c>
      <c r="F576" s="26" t="s">
        <v>213</v>
      </c>
      <c r="G576" s="85">
        <f t="shared" si="35"/>
        <v>921.965</v>
      </c>
      <c r="H576" s="85">
        <f>H577</f>
        <v>921.965</v>
      </c>
      <c r="I576" s="85"/>
    </row>
    <row r="577" spans="1:9" ht="21" customHeight="1">
      <c r="A577" s="76" t="s">
        <v>214</v>
      </c>
      <c r="B577" s="22" t="s">
        <v>417</v>
      </c>
      <c r="C577" s="26" t="s">
        <v>396</v>
      </c>
      <c r="D577" s="26" t="s">
        <v>155</v>
      </c>
      <c r="E577" s="26" t="s">
        <v>906</v>
      </c>
      <c r="F577" s="26" t="s">
        <v>289</v>
      </c>
      <c r="G577" s="85">
        <f t="shared" si="35"/>
        <v>921.965</v>
      </c>
      <c r="H577" s="85">
        <f>225+96.966+599.999</f>
        <v>921.965</v>
      </c>
      <c r="I577" s="85"/>
    </row>
    <row r="578" spans="1:9" ht="54" customHeight="1">
      <c r="A578" s="55" t="s">
        <v>480</v>
      </c>
      <c r="B578" s="74" t="s">
        <v>417</v>
      </c>
      <c r="C578" s="59" t="s">
        <v>396</v>
      </c>
      <c r="D578" s="59" t="s">
        <v>155</v>
      </c>
      <c r="E578" s="59" t="s">
        <v>952</v>
      </c>
      <c r="F578" s="59" t="s">
        <v>414</v>
      </c>
      <c r="G578" s="94">
        <f t="shared" si="35"/>
        <v>190.689</v>
      </c>
      <c r="H578" s="94">
        <f>H579</f>
        <v>190.689</v>
      </c>
      <c r="I578" s="94">
        <f>I579</f>
        <v>0</v>
      </c>
    </row>
    <row r="579" spans="1:9" ht="45.75" customHeight="1">
      <c r="A579" s="76" t="s">
        <v>212</v>
      </c>
      <c r="B579" s="22" t="s">
        <v>417</v>
      </c>
      <c r="C579" s="37" t="s">
        <v>396</v>
      </c>
      <c r="D579" s="37" t="s">
        <v>155</v>
      </c>
      <c r="E579" s="37" t="s">
        <v>952</v>
      </c>
      <c r="F579" s="26" t="s">
        <v>213</v>
      </c>
      <c r="G579" s="85">
        <f t="shared" si="35"/>
        <v>190.689</v>
      </c>
      <c r="H579" s="85">
        <f>H580</f>
        <v>190.689</v>
      </c>
      <c r="I579" s="85">
        <f>I580</f>
        <v>0</v>
      </c>
    </row>
    <row r="580" spans="1:9" ht="21.75" customHeight="1">
      <c r="A580" s="17" t="s">
        <v>214</v>
      </c>
      <c r="B580" s="22" t="s">
        <v>417</v>
      </c>
      <c r="C580" s="37" t="s">
        <v>396</v>
      </c>
      <c r="D580" s="37" t="s">
        <v>155</v>
      </c>
      <c r="E580" s="37" t="s">
        <v>952</v>
      </c>
      <c r="F580" s="26" t="s">
        <v>289</v>
      </c>
      <c r="G580" s="85">
        <f t="shared" si="35"/>
        <v>190.689</v>
      </c>
      <c r="H580" s="85">
        <f>25+87.5+78.189</f>
        <v>190.689</v>
      </c>
      <c r="I580" s="85">
        <v>0</v>
      </c>
    </row>
    <row r="581" spans="1:9" ht="45.75" customHeight="1">
      <c r="A581" s="55" t="s">
        <v>478</v>
      </c>
      <c r="B581" s="74" t="s">
        <v>417</v>
      </c>
      <c r="C581" s="59" t="s">
        <v>396</v>
      </c>
      <c r="D581" s="59" t="s">
        <v>393</v>
      </c>
      <c r="E581" s="59" t="s">
        <v>31</v>
      </c>
      <c r="F581" s="59" t="s">
        <v>414</v>
      </c>
      <c r="G581" s="94">
        <f t="shared" si="33"/>
        <v>50</v>
      </c>
      <c r="H581" s="94">
        <f aca="true" t="shared" si="36" ref="H581:I584">H582</f>
        <v>50</v>
      </c>
      <c r="I581" s="94">
        <f t="shared" si="36"/>
        <v>0</v>
      </c>
    </row>
    <row r="582" spans="1:9" ht="37.5" customHeight="1">
      <c r="A582" s="81" t="s">
        <v>292</v>
      </c>
      <c r="B582" s="77" t="s">
        <v>417</v>
      </c>
      <c r="C582" s="37" t="s">
        <v>396</v>
      </c>
      <c r="D582" s="37" t="s">
        <v>393</v>
      </c>
      <c r="E582" s="37" t="s">
        <v>64</v>
      </c>
      <c r="F582" s="37" t="s">
        <v>414</v>
      </c>
      <c r="G582" s="85">
        <f t="shared" si="33"/>
        <v>50</v>
      </c>
      <c r="H582" s="110">
        <f t="shared" si="36"/>
        <v>50</v>
      </c>
      <c r="I582" s="110">
        <f t="shared" si="36"/>
        <v>0</v>
      </c>
    </row>
    <row r="583" spans="1:9" ht="27">
      <c r="A583" s="17" t="s">
        <v>258</v>
      </c>
      <c r="B583" s="77" t="s">
        <v>417</v>
      </c>
      <c r="C583" s="37" t="s">
        <v>396</v>
      </c>
      <c r="D583" s="37" t="s">
        <v>393</v>
      </c>
      <c r="E583" s="37" t="s">
        <v>65</v>
      </c>
      <c r="F583" s="37" t="s">
        <v>414</v>
      </c>
      <c r="G583" s="85">
        <f t="shared" si="33"/>
        <v>50</v>
      </c>
      <c r="H583" s="110">
        <f t="shared" si="36"/>
        <v>50</v>
      </c>
      <c r="I583" s="110">
        <f t="shared" si="36"/>
        <v>0</v>
      </c>
    </row>
    <row r="584" spans="1:9" ht="41.25">
      <c r="A584" s="17" t="s">
        <v>212</v>
      </c>
      <c r="B584" s="77" t="s">
        <v>417</v>
      </c>
      <c r="C584" s="37" t="s">
        <v>396</v>
      </c>
      <c r="D584" s="37" t="s">
        <v>393</v>
      </c>
      <c r="E584" s="37" t="s">
        <v>65</v>
      </c>
      <c r="F584" s="37" t="s">
        <v>213</v>
      </c>
      <c r="G584" s="85">
        <f t="shared" si="33"/>
        <v>50</v>
      </c>
      <c r="H584" s="85">
        <f t="shared" si="36"/>
        <v>50</v>
      </c>
      <c r="I584" s="85">
        <f t="shared" si="36"/>
        <v>0</v>
      </c>
    </row>
    <row r="585" spans="1:9" ht="13.5">
      <c r="A585" s="17" t="s">
        <v>214</v>
      </c>
      <c r="B585" s="77" t="s">
        <v>417</v>
      </c>
      <c r="C585" s="37" t="s">
        <v>396</v>
      </c>
      <c r="D585" s="37" t="s">
        <v>393</v>
      </c>
      <c r="E585" s="37" t="s">
        <v>65</v>
      </c>
      <c r="F585" s="37" t="s">
        <v>289</v>
      </c>
      <c r="G585" s="85">
        <f t="shared" si="33"/>
        <v>50</v>
      </c>
      <c r="H585" s="110">
        <f>30+20</f>
        <v>50</v>
      </c>
      <c r="I585" s="110"/>
    </row>
    <row r="586" spans="1:9" ht="41.25">
      <c r="A586" s="55" t="s">
        <v>477</v>
      </c>
      <c r="B586" s="74" t="s">
        <v>417</v>
      </c>
      <c r="C586" s="59" t="s">
        <v>396</v>
      </c>
      <c r="D586" s="59" t="s">
        <v>396</v>
      </c>
      <c r="E586" s="59" t="s">
        <v>31</v>
      </c>
      <c r="F586" s="59" t="s">
        <v>414</v>
      </c>
      <c r="G586" s="94">
        <f t="shared" si="33"/>
        <v>817.13743</v>
      </c>
      <c r="H586" s="94">
        <f>H587+H595</f>
        <v>46.898</v>
      </c>
      <c r="I586" s="94">
        <f>I587+I595</f>
        <v>770.23943</v>
      </c>
    </row>
    <row r="587" spans="1:9" ht="33.75" customHeight="1" hidden="1">
      <c r="A587" s="81" t="s">
        <v>291</v>
      </c>
      <c r="B587" s="22" t="s">
        <v>417</v>
      </c>
      <c r="C587" s="37" t="s">
        <v>396</v>
      </c>
      <c r="D587" s="37" t="s">
        <v>396</v>
      </c>
      <c r="E587" s="37" t="s">
        <v>57</v>
      </c>
      <c r="F587" s="37" t="s">
        <v>414</v>
      </c>
      <c r="G587" s="85">
        <f aca="true" t="shared" si="37" ref="G587:G594">H587+I587</f>
        <v>0</v>
      </c>
      <c r="H587" s="85">
        <f>H588</f>
        <v>0</v>
      </c>
      <c r="I587" s="85">
        <f>I588</f>
        <v>0</v>
      </c>
    </row>
    <row r="588" spans="1:9" ht="41.25" hidden="1">
      <c r="A588" s="55" t="s">
        <v>679</v>
      </c>
      <c r="B588" s="74" t="s">
        <v>417</v>
      </c>
      <c r="C588" s="59" t="s">
        <v>396</v>
      </c>
      <c r="D588" s="59" t="s">
        <v>396</v>
      </c>
      <c r="E588" s="59" t="s">
        <v>322</v>
      </c>
      <c r="F588" s="59" t="s">
        <v>414</v>
      </c>
      <c r="G588" s="94">
        <f t="shared" si="37"/>
        <v>0</v>
      </c>
      <c r="H588" s="94">
        <f>H592</f>
        <v>0</v>
      </c>
      <c r="I588" s="94">
        <f>I589</f>
        <v>0</v>
      </c>
    </row>
    <row r="589" spans="1:9" ht="69" hidden="1">
      <c r="A589" s="17" t="s">
        <v>693</v>
      </c>
      <c r="B589" s="22" t="s">
        <v>417</v>
      </c>
      <c r="C589" s="37" t="s">
        <v>396</v>
      </c>
      <c r="D589" s="37" t="s">
        <v>396</v>
      </c>
      <c r="E589" s="37" t="s">
        <v>700</v>
      </c>
      <c r="F589" s="37" t="s">
        <v>414</v>
      </c>
      <c r="G589" s="85">
        <f t="shared" si="37"/>
        <v>0</v>
      </c>
      <c r="H589" s="85"/>
      <c r="I589" s="85">
        <f>I590</f>
        <v>0</v>
      </c>
    </row>
    <row r="590" spans="1:9" ht="41.25" hidden="1">
      <c r="A590" s="17" t="s">
        <v>212</v>
      </c>
      <c r="B590" s="22" t="s">
        <v>417</v>
      </c>
      <c r="C590" s="37" t="s">
        <v>396</v>
      </c>
      <c r="D590" s="37" t="s">
        <v>396</v>
      </c>
      <c r="E590" s="37" t="s">
        <v>700</v>
      </c>
      <c r="F590" s="37" t="s">
        <v>213</v>
      </c>
      <c r="G590" s="85">
        <f t="shared" si="37"/>
        <v>0</v>
      </c>
      <c r="H590" s="85"/>
      <c r="I590" s="85">
        <f>I591</f>
        <v>0</v>
      </c>
    </row>
    <row r="591" spans="1:9" ht="13.5" hidden="1">
      <c r="A591" s="17" t="s">
        <v>214</v>
      </c>
      <c r="B591" s="22" t="s">
        <v>417</v>
      </c>
      <c r="C591" s="37" t="s">
        <v>396</v>
      </c>
      <c r="D591" s="37" t="s">
        <v>396</v>
      </c>
      <c r="E591" s="37" t="s">
        <v>700</v>
      </c>
      <c r="F591" s="37" t="s">
        <v>289</v>
      </c>
      <c r="G591" s="85">
        <f t="shared" si="37"/>
        <v>0</v>
      </c>
      <c r="H591" s="85"/>
      <c r="I591" s="85">
        <v>0</v>
      </c>
    </row>
    <row r="592" spans="1:9" ht="82.5" hidden="1">
      <c r="A592" s="17" t="s">
        <v>694</v>
      </c>
      <c r="B592" s="22" t="s">
        <v>417</v>
      </c>
      <c r="C592" s="37" t="s">
        <v>396</v>
      </c>
      <c r="D592" s="37" t="s">
        <v>396</v>
      </c>
      <c r="E592" s="37" t="s">
        <v>751</v>
      </c>
      <c r="F592" s="37" t="s">
        <v>414</v>
      </c>
      <c r="G592" s="85">
        <f t="shared" si="37"/>
        <v>0</v>
      </c>
      <c r="H592" s="85">
        <f>H593</f>
        <v>0</v>
      </c>
      <c r="I592" s="85"/>
    </row>
    <row r="593" spans="1:9" ht="41.25" hidden="1">
      <c r="A593" s="17" t="s">
        <v>212</v>
      </c>
      <c r="B593" s="22" t="s">
        <v>417</v>
      </c>
      <c r="C593" s="37" t="s">
        <v>396</v>
      </c>
      <c r="D593" s="37" t="s">
        <v>396</v>
      </c>
      <c r="E593" s="37" t="s">
        <v>751</v>
      </c>
      <c r="F593" s="37" t="s">
        <v>213</v>
      </c>
      <c r="G593" s="85">
        <f t="shared" si="37"/>
        <v>0</v>
      </c>
      <c r="H593" s="85">
        <f>H594</f>
        <v>0</v>
      </c>
      <c r="I593" s="85"/>
    </row>
    <row r="594" spans="1:9" ht="13.5" hidden="1">
      <c r="A594" s="17" t="s">
        <v>214</v>
      </c>
      <c r="B594" s="22" t="s">
        <v>417</v>
      </c>
      <c r="C594" s="37" t="s">
        <v>396</v>
      </c>
      <c r="D594" s="37" t="s">
        <v>396</v>
      </c>
      <c r="E594" s="37" t="s">
        <v>751</v>
      </c>
      <c r="F594" s="37" t="s">
        <v>289</v>
      </c>
      <c r="G594" s="85">
        <f t="shared" si="37"/>
        <v>0</v>
      </c>
      <c r="H594" s="85">
        <v>0</v>
      </c>
      <c r="I594" s="85"/>
    </row>
    <row r="595" spans="1:9" ht="33" customHeight="1">
      <c r="A595" s="81" t="s">
        <v>466</v>
      </c>
      <c r="B595" s="22" t="s">
        <v>417</v>
      </c>
      <c r="C595" s="37" t="s">
        <v>396</v>
      </c>
      <c r="D595" s="37" t="s">
        <v>396</v>
      </c>
      <c r="E595" s="37" t="s">
        <v>66</v>
      </c>
      <c r="F595" s="37" t="s">
        <v>414</v>
      </c>
      <c r="G595" s="85">
        <f t="shared" si="33"/>
        <v>817.13743</v>
      </c>
      <c r="H595" s="85">
        <f>H596+H601</f>
        <v>46.898</v>
      </c>
      <c r="I595" s="85">
        <f>I596</f>
        <v>770.23943</v>
      </c>
    </row>
    <row r="596" spans="1:9" ht="54.75">
      <c r="A596" s="79" t="s">
        <v>748</v>
      </c>
      <c r="B596" s="173" t="s">
        <v>417</v>
      </c>
      <c r="C596" s="80" t="s">
        <v>396</v>
      </c>
      <c r="D596" s="80" t="s">
        <v>396</v>
      </c>
      <c r="E596" s="80" t="s">
        <v>66</v>
      </c>
      <c r="F596" s="80" t="s">
        <v>414</v>
      </c>
      <c r="G596" s="93">
        <f>H596+I596</f>
        <v>770.23943</v>
      </c>
      <c r="H596" s="123">
        <f>H597+H599</f>
        <v>0</v>
      </c>
      <c r="I596" s="123">
        <f>I597+I599</f>
        <v>770.23943</v>
      </c>
    </row>
    <row r="597" spans="1:9" ht="41.25">
      <c r="A597" s="46" t="s">
        <v>212</v>
      </c>
      <c r="B597" s="77" t="s">
        <v>417</v>
      </c>
      <c r="C597" s="37" t="s">
        <v>396</v>
      </c>
      <c r="D597" s="37" t="s">
        <v>396</v>
      </c>
      <c r="E597" s="37" t="s">
        <v>67</v>
      </c>
      <c r="F597" s="37" t="s">
        <v>213</v>
      </c>
      <c r="G597" s="85">
        <f>H597+I597</f>
        <v>770.23943</v>
      </c>
      <c r="H597" s="110"/>
      <c r="I597" s="110">
        <f>I598</f>
        <v>770.23943</v>
      </c>
    </row>
    <row r="598" spans="1:9" ht="13.5">
      <c r="A598" s="46" t="s">
        <v>214</v>
      </c>
      <c r="B598" s="77" t="s">
        <v>417</v>
      </c>
      <c r="C598" s="37" t="s">
        <v>396</v>
      </c>
      <c r="D598" s="37" t="s">
        <v>396</v>
      </c>
      <c r="E598" s="37" t="s">
        <v>67</v>
      </c>
      <c r="F598" s="37" t="s">
        <v>289</v>
      </c>
      <c r="G598" s="85">
        <f>H598+I598</f>
        <v>770.23943</v>
      </c>
      <c r="H598" s="110"/>
      <c r="I598" s="110">
        <f>896.82255-300+173.41688</f>
        <v>770.23943</v>
      </c>
    </row>
    <row r="599" spans="1:9" ht="41.25" hidden="1">
      <c r="A599" s="46" t="s">
        <v>212</v>
      </c>
      <c r="B599" s="77" t="s">
        <v>417</v>
      </c>
      <c r="C599" s="37" t="s">
        <v>396</v>
      </c>
      <c r="D599" s="37" t="s">
        <v>396</v>
      </c>
      <c r="E599" s="37" t="s">
        <v>67</v>
      </c>
      <c r="F599" s="37" t="s">
        <v>213</v>
      </c>
      <c r="G599" s="85">
        <f t="shared" si="33"/>
        <v>0</v>
      </c>
      <c r="H599" s="110"/>
      <c r="I599" s="110">
        <f>I600</f>
        <v>0</v>
      </c>
    </row>
    <row r="600" spans="1:9" ht="13.5" hidden="1">
      <c r="A600" s="46" t="s">
        <v>214</v>
      </c>
      <c r="B600" s="77" t="s">
        <v>417</v>
      </c>
      <c r="C600" s="37" t="s">
        <v>396</v>
      </c>
      <c r="D600" s="37" t="s">
        <v>396</v>
      </c>
      <c r="E600" s="37" t="s">
        <v>67</v>
      </c>
      <c r="F600" s="37" t="s">
        <v>289</v>
      </c>
      <c r="G600" s="85">
        <f t="shared" si="33"/>
        <v>0</v>
      </c>
      <c r="H600" s="110"/>
      <c r="I600" s="110"/>
    </row>
    <row r="601" spans="1:9" ht="54.75">
      <c r="A601" s="17" t="s">
        <v>914</v>
      </c>
      <c r="B601" s="22" t="s">
        <v>417</v>
      </c>
      <c r="C601" s="37" t="s">
        <v>396</v>
      </c>
      <c r="D601" s="37" t="s">
        <v>396</v>
      </c>
      <c r="E601" s="37" t="s">
        <v>913</v>
      </c>
      <c r="F601" s="37" t="s">
        <v>414</v>
      </c>
      <c r="G601" s="85">
        <f>H601</f>
        <v>46.898</v>
      </c>
      <c r="H601" s="85">
        <f>H602</f>
        <v>46.898</v>
      </c>
      <c r="I601" s="85"/>
    </row>
    <row r="602" spans="1:9" ht="41.25">
      <c r="A602" s="46" t="s">
        <v>212</v>
      </c>
      <c r="B602" s="22" t="s">
        <v>417</v>
      </c>
      <c r="C602" s="37" t="s">
        <v>396</v>
      </c>
      <c r="D602" s="37" t="s">
        <v>396</v>
      </c>
      <c r="E602" s="37" t="s">
        <v>913</v>
      </c>
      <c r="F602" s="37" t="s">
        <v>213</v>
      </c>
      <c r="G602" s="85">
        <f>H602</f>
        <v>46.898</v>
      </c>
      <c r="H602" s="85">
        <f>H603</f>
        <v>46.898</v>
      </c>
      <c r="I602" s="85"/>
    </row>
    <row r="603" spans="1:9" ht="13.5">
      <c r="A603" s="46" t="s">
        <v>214</v>
      </c>
      <c r="B603" s="22" t="s">
        <v>417</v>
      </c>
      <c r="C603" s="37" t="s">
        <v>396</v>
      </c>
      <c r="D603" s="37" t="s">
        <v>396</v>
      </c>
      <c r="E603" s="37" t="s">
        <v>913</v>
      </c>
      <c r="F603" s="37" t="s">
        <v>289</v>
      </c>
      <c r="G603" s="85">
        <f>H603</f>
        <v>46.898</v>
      </c>
      <c r="H603" s="85">
        <v>46.898</v>
      </c>
      <c r="I603" s="85"/>
    </row>
    <row r="604" spans="1:9" ht="18" customHeight="1">
      <c r="A604" s="79" t="s">
        <v>371</v>
      </c>
      <c r="B604" s="173" t="s">
        <v>417</v>
      </c>
      <c r="C604" s="80" t="s">
        <v>396</v>
      </c>
      <c r="D604" s="80" t="s">
        <v>381</v>
      </c>
      <c r="E604" s="80" t="s">
        <v>322</v>
      </c>
      <c r="F604" s="80" t="s">
        <v>414</v>
      </c>
      <c r="G604" s="93">
        <f>H604+I604</f>
        <v>48104.198000000004</v>
      </c>
      <c r="H604" s="123">
        <f>H605+H620+H626+H630+H635+H640</f>
        <v>48104.198000000004</v>
      </c>
      <c r="I604" s="123">
        <f>I605</f>
        <v>0</v>
      </c>
    </row>
    <row r="605" spans="1:9" ht="41.25">
      <c r="A605" s="55" t="s">
        <v>477</v>
      </c>
      <c r="B605" s="171" t="s">
        <v>417</v>
      </c>
      <c r="C605" s="59" t="s">
        <v>396</v>
      </c>
      <c r="D605" s="59" t="s">
        <v>381</v>
      </c>
      <c r="E605" s="59" t="s">
        <v>31</v>
      </c>
      <c r="F605" s="59" t="s">
        <v>414</v>
      </c>
      <c r="G605" s="94">
        <f t="shared" si="33"/>
        <v>44182.187000000005</v>
      </c>
      <c r="H605" s="122">
        <f>H606</f>
        <v>44182.187000000005</v>
      </c>
      <c r="I605" s="122"/>
    </row>
    <row r="606" spans="1:10" ht="31.5" customHeight="1">
      <c r="A606" s="81" t="s">
        <v>264</v>
      </c>
      <c r="B606" s="77" t="s">
        <v>417</v>
      </c>
      <c r="C606" s="37" t="s">
        <v>396</v>
      </c>
      <c r="D606" s="37" t="s">
        <v>381</v>
      </c>
      <c r="E606" s="37" t="s">
        <v>69</v>
      </c>
      <c r="F606" s="37" t="s">
        <v>414</v>
      </c>
      <c r="G606" s="85">
        <f t="shared" si="33"/>
        <v>44182.187000000005</v>
      </c>
      <c r="H606" s="110">
        <f>H607+H615</f>
        <v>44182.187000000005</v>
      </c>
      <c r="I606" s="110"/>
      <c r="J606" s="51"/>
    </row>
    <row r="607" spans="1:9" ht="54.75" customHeight="1">
      <c r="A607" s="17" t="s">
        <v>259</v>
      </c>
      <c r="B607" s="77" t="s">
        <v>417</v>
      </c>
      <c r="C607" s="37" t="s">
        <v>396</v>
      </c>
      <c r="D607" s="37" t="s">
        <v>381</v>
      </c>
      <c r="E607" s="37" t="s">
        <v>69</v>
      </c>
      <c r="F607" s="37" t="s">
        <v>414</v>
      </c>
      <c r="G607" s="85">
        <f t="shared" si="33"/>
        <v>41122.73</v>
      </c>
      <c r="H607" s="110">
        <f>H608+H610+H612</f>
        <v>41122.73</v>
      </c>
      <c r="I607" s="110">
        <f>I608+I610+I612</f>
        <v>0</v>
      </c>
    </row>
    <row r="608" spans="1:9" ht="81" customHeight="1">
      <c r="A608" s="17" t="s">
        <v>186</v>
      </c>
      <c r="B608" s="77" t="s">
        <v>417</v>
      </c>
      <c r="C608" s="37" t="s">
        <v>396</v>
      </c>
      <c r="D608" s="37" t="s">
        <v>381</v>
      </c>
      <c r="E608" s="37" t="s">
        <v>69</v>
      </c>
      <c r="F608" s="37" t="s">
        <v>153</v>
      </c>
      <c r="G608" s="85">
        <f t="shared" si="33"/>
        <v>34805.63</v>
      </c>
      <c r="H608" s="110">
        <f>H609</f>
        <v>34805.63</v>
      </c>
      <c r="I608" s="110">
        <f>I609</f>
        <v>0</v>
      </c>
    </row>
    <row r="609" spans="1:10" ht="27">
      <c r="A609" s="17" t="s">
        <v>202</v>
      </c>
      <c r="B609" s="77" t="s">
        <v>417</v>
      </c>
      <c r="C609" s="37" t="s">
        <v>396</v>
      </c>
      <c r="D609" s="37" t="s">
        <v>381</v>
      </c>
      <c r="E609" s="37" t="s">
        <v>69</v>
      </c>
      <c r="F609" s="37" t="s">
        <v>160</v>
      </c>
      <c r="G609" s="85">
        <f>H609+I609</f>
        <v>34805.63</v>
      </c>
      <c r="H609" s="85">
        <f>34785.63+20</f>
        <v>34805.63</v>
      </c>
      <c r="I609" s="110"/>
      <c r="J609" s="84"/>
    </row>
    <row r="610" spans="1:9" ht="27">
      <c r="A610" s="17" t="s">
        <v>189</v>
      </c>
      <c r="B610" s="77" t="s">
        <v>417</v>
      </c>
      <c r="C610" s="37" t="s">
        <v>396</v>
      </c>
      <c r="D610" s="37" t="s">
        <v>381</v>
      </c>
      <c r="E610" s="37" t="s">
        <v>69</v>
      </c>
      <c r="F610" s="37" t="s">
        <v>157</v>
      </c>
      <c r="G610" s="85">
        <f>H610+I610</f>
        <v>5978.472000000009</v>
      </c>
      <c r="H610" s="85">
        <f>H611</f>
        <v>5978.472000000009</v>
      </c>
      <c r="I610" s="110">
        <f>I611</f>
        <v>0</v>
      </c>
    </row>
    <row r="611" spans="1:10" ht="41.25">
      <c r="A611" s="46" t="s">
        <v>190</v>
      </c>
      <c r="B611" s="22" t="s">
        <v>417</v>
      </c>
      <c r="C611" s="37" t="s">
        <v>396</v>
      </c>
      <c r="D611" s="37" t="s">
        <v>381</v>
      </c>
      <c r="E611" s="37" t="s">
        <v>69</v>
      </c>
      <c r="F611" s="37" t="s">
        <v>191</v>
      </c>
      <c r="G611" s="85">
        <f>H611+I611</f>
        <v>5978.472000000009</v>
      </c>
      <c r="H611" s="85">
        <f>40712.73-89.2-34785.63-49.428-20+210</f>
        <v>5978.472000000009</v>
      </c>
      <c r="I611" s="110"/>
      <c r="J611" s="84"/>
    </row>
    <row r="612" spans="1:9" ht="13.5">
      <c r="A612" s="17" t="s">
        <v>194</v>
      </c>
      <c r="B612" s="22" t="s">
        <v>417</v>
      </c>
      <c r="C612" s="37" t="s">
        <v>396</v>
      </c>
      <c r="D612" s="37" t="s">
        <v>381</v>
      </c>
      <c r="E612" s="37" t="s">
        <v>69</v>
      </c>
      <c r="F612" s="37" t="s">
        <v>195</v>
      </c>
      <c r="G612" s="85">
        <f>H612+I612</f>
        <v>338.628</v>
      </c>
      <c r="H612" s="85">
        <f>H613+H614</f>
        <v>338.628</v>
      </c>
      <c r="I612" s="110">
        <f>I614</f>
        <v>0</v>
      </c>
    </row>
    <row r="613" spans="1:9" ht="13.5" hidden="1">
      <c r="A613" s="17" t="s">
        <v>198</v>
      </c>
      <c r="B613" s="22" t="s">
        <v>417</v>
      </c>
      <c r="C613" s="37" t="s">
        <v>396</v>
      </c>
      <c r="D613" s="37" t="s">
        <v>381</v>
      </c>
      <c r="E613" s="37" t="s">
        <v>69</v>
      </c>
      <c r="F613" s="37" t="s">
        <v>199</v>
      </c>
      <c r="G613" s="85">
        <f>H613</f>
        <v>0</v>
      </c>
      <c r="H613" s="85"/>
      <c r="I613" s="110"/>
    </row>
    <row r="614" spans="1:9" ht="13.5">
      <c r="A614" s="17" t="s">
        <v>192</v>
      </c>
      <c r="B614" s="22" t="s">
        <v>417</v>
      </c>
      <c r="C614" s="37" t="s">
        <v>396</v>
      </c>
      <c r="D614" s="37" t="s">
        <v>381</v>
      </c>
      <c r="E614" s="37" t="s">
        <v>69</v>
      </c>
      <c r="F614" s="37" t="s">
        <v>193</v>
      </c>
      <c r="G614" s="85">
        <f>H614+I614</f>
        <v>338.628</v>
      </c>
      <c r="H614" s="85">
        <f>89.2+200+49.428</f>
        <v>338.628</v>
      </c>
      <c r="I614" s="110"/>
    </row>
    <row r="615" spans="1:9" ht="63" customHeight="1">
      <c r="A615" s="81" t="s">
        <v>545</v>
      </c>
      <c r="B615" s="22" t="s">
        <v>417</v>
      </c>
      <c r="C615" s="37" t="s">
        <v>396</v>
      </c>
      <c r="D615" s="37" t="s">
        <v>381</v>
      </c>
      <c r="E615" s="37" t="s">
        <v>69</v>
      </c>
      <c r="F615" s="37" t="s">
        <v>414</v>
      </c>
      <c r="G615" s="85">
        <f>H615</f>
        <v>3059.457</v>
      </c>
      <c r="H615" s="85">
        <f>H616+H618</f>
        <v>3059.457</v>
      </c>
      <c r="I615" s="85"/>
    </row>
    <row r="616" spans="1:9" ht="73.5" customHeight="1">
      <c r="A616" s="17" t="s">
        <v>186</v>
      </c>
      <c r="B616" s="22" t="s">
        <v>417</v>
      </c>
      <c r="C616" s="37" t="s">
        <v>396</v>
      </c>
      <c r="D616" s="37" t="s">
        <v>381</v>
      </c>
      <c r="E616" s="37" t="s">
        <v>69</v>
      </c>
      <c r="F616" s="37" t="s">
        <v>153</v>
      </c>
      <c r="G616" s="85">
        <f>H616</f>
        <v>2969.457</v>
      </c>
      <c r="H616" s="85">
        <f>H617</f>
        <v>2969.457</v>
      </c>
      <c r="I616" s="85"/>
    </row>
    <row r="617" spans="1:10" ht="27">
      <c r="A617" s="17" t="s">
        <v>202</v>
      </c>
      <c r="B617" s="22" t="s">
        <v>417</v>
      </c>
      <c r="C617" s="37" t="s">
        <v>396</v>
      </c>
      <c r="D617" s="37" t="s">
        <v>381</v>
      </c>
      <c r="E617" s="37" t="s">
        <v>69</v>
      </c>
      <c r="F617" s="37" t="s">
        <v>160</v>
      </c>
      <c r="G617" s="85">
        <f>H617</f>
        <v>2969.457</v>
      </c>
      <c r="H617" s="85">
        <f>2969.457</f>
        <v>2969.457</v>
      </c>
      <c r="I617" s="85"/>
      <c r="J617" s="185"/>
    </row>
    <row r="618" spans="1:9" ht="27">
      <c r="A618" s="17" t="s">
        <v>189</v>
      </c>
      <c r="B618" s="22" t="s">
        <v>417</v>
      </c>
      <c r="C618" s="37" t="s">
        <v>396</v>
      </c>
      <c r="D618" s="37" t="s">
        <v>381</v>
      </c>
      <c r="E618" s="37" t="s">
        <v>69</v>
      </c>
      <c r="F618" s="37" t="s">
        <v>157</v>
      </c>
      <c r="G618" s="85">
        <f>H618</f>
        <v>90</v>
      </c>
      <c r="H618" s="85">
        <f>H619</f>
        <v>90</v>
      </c>
      <c r="I618" s="85"/>
    </row>
    <row r="619" spans="1:9" ht="41.25">
      <c r="A619" s="46" t="s">
        <v>190</v>
      </c>
      <c r="B619" s="22" t="s">
        <v>417</v>
      </c>
      <c r="C619" s="37" t="s">
        <v>396</v>
      </c>
      <c r="D619" s="37" t="s">
        <v>381</v>
      </c>
      <c r="E619" s="37" t="s">
        <v>69</v>
      </c>
      <c r="F619" s="37" t="s">
        <v>191</v>
      </c>
      <c r="G619" s="85">
        <f>H619</f>
        <v>90</v>
      </c>
      <c r="H619" s="85">
        <v>90</v>
      </c>
      <c r="I619" s="85"/>
    </row>
    <row r="620" spans="1:9" ht="54.75">
      <c r="A620" s="55" t="s">
        <v>479</v>
      </c>
      <c r="B620" s="171" t="s">
        <v>417</v>
      </c>
      <c r="C620" s="59" t="s">
        <v>396</v>
      </c>
      <c r="D620" s="59" t="s">
        <v>381</v>
      </c>
      <c r="E620" s="59" t="s">
        <v>71</v>
      </c>
      <c r="F620" s="59" t="s">
        <v>414</v>
      </c>
      <c r="G620" s="94">
        <f aca="true" t="shared" si="38" ref="G620:G632">H620+I620</f>
        <v>598</v>
      </c>
      <c r="H620" s="94">
        <f>H621+H624</f>
        <v>598</v>
      </c>
      <c r="I620" s="122">
        <f>I621+I624</f>
        <v>0</v>
      </c>
    </row>
    <row r="621" spans="1:9" ht="13.5">
      <c r="A621" s="17" t="s">
        <v>406</v>
      </c>
      <c r="B621" s="77" t="s">
        <v>417</v>
      </c>
      <c r="C621" s="37" t="s">
        <v>396</v>
      </c>
      <c r="D621" s="37" t="s">
        <v>381</v>
      </c>
      <c r="E621" s="37" t="s">
        <v>72</v>
      </c>
      <c r="F621" s="37" t="s">
        <v>414</v>
      </c>
      <c r="G621" s="85">
        <f t="shared" si="38"/>
        <v>380</v>
      </c>
      <c r="H621" s="110">
        <f>H622</f>
        <v>380</v>
      </c>
      <c r="I621" s="110">
        <f>I622</f>
        <v>0</v>
      </c>
    </row>
    <row r="622" spans="1:9" ht="27">
      <c r="A622" s="17" t="s">
        <v>189</v>
      </c>
      <c r="B622" s="77" t="s">
        <v>417</v>
      </c>
      <c r="C622" s="37" t="s">
        <v>396</v>
      </c>
      <c r="D622" s="37" t="s">
        <v>381</v>
      </c>
      <c r="E622" s="37" t="s">
        <v>72</v>
      </c>
      <c r="F622" s="37" t="s">
        <v>157</v>
      </c>
      <c r="G622" s="85">
        <f t="shared" si="38"/>
        <v>380</v>
      </c>
      <c r="H622" s="110">
        <f>H623</f>
        <v>380</v>
      </c>
      <c r="I622" s="110">
        <f>I623</f>
        <v>0</v>
      </c>
    </row>
    <row r="623" spans="1:9" ht="41.25">
      <c r="A623" s="46" t="s">
        <v>190</v>
      </c>
      <c r="B623" s="77" t="s">
        <v>417</v>
      </c>
      <c r="C623" s="37" t="s">
        <v>396</v>
      </c>
      <c r="D623" s="37" t="s">
        <v>381</v>
      </c>
      <c r="E623" s="37" t="s">
        <v>73</v>
      </c>
      <c r="F623" s="37" t="s">
        <v>191</v>
      </c>
      <c r="G623" s="85">
        <f t="shared" si="38"/>
        <v>380</v>
      </c>
      <c r="H623" s="110">
        <f>380</f>
        <v>380</v>
      </c>
      <c r="I623" s="110"/>
    </row>
    <row r="624" spans="1:9" ht="41.25">
      <c r="A624" s="17" t="s">
        <v>212</v>
      </c>
      <c r="B624" s="77" t="s">
        <v>417</v>
      </c>
      <c r="C624" s="37" t="s">
        <v>396</v>
      </c>
      <c r="D624" s="37" t="s">
        <v>381</v>
      </c>
      <c r="E624" s="37" t="s">
        <v>72</v>
      </c>
      <c r="F624" s="37" t="s">
        <v>213</v>
      </c>
      <c r="G624" s="85">
        <f t="shared" si="38"/>
        <v>218</v>
      </c>
      <c r="H624" s="110">
        <f>H625</f>
        <v>218</v>
      </c>
      <c r="I624" s="110">
        <f>I625</f>
        <v>0</v>
      </c>
    </row>
    <row r="625" spans="1:9" ht="27">
      <c r="A625" s="17" t="s">
        <v>133</v>
      </c>
      <c r="B625" s="77" t="s">
        <v>417</v>
      </c>
      <c r="C625" s="37" t="s">
        <v>396</v>
      </c>
      <c r="D625" s="37" t="s">
        <v>381</v>
      </c>
      <c r="E625" s="37" t="s">
        <v>74</v>
      </c>
      <c r="F625" s="37" t="s">
        <v>289</v>
      </c>
      <c r="G625" s="85">
        <f t="shared" si="38"/>
        <v>218</v>
      </c>
      <c r="H625" s="110">
        <f>218</f>
        <v>218</v>
      </c>
      <c r="I625" s="110"/>
    </row>
    <row r="626" spans="1:9" ht="45" customHeight="1">
      <c r="A626" s="55" t="s">
        <v>480</v>
      </c>
      <c r="B626" s="171" t="s">
        <v>417</v>
      </c>
      <c r="C626" s="59" t="s">
        <v>396</v>
      </c>
      <c r="D626" s="59" t="s">
        <v>381</v>
      </c>
      <c r="E626" s="59" t="s">
        <v>38</v>
      </c>
      <c r="F626" s="59" t="s">
        <v>414</v>
      </c>
      <c r="G626" s="94">
        <f t="shared" si="38"/>
        <v>1933.311</v>
      </c>
      <c r="H626" s="122">
        <f>H627</f>
        <v>1933.311</v>
      </c>
      <c r="I626" s="122">
        <f aca="true" t="shared" si="39" ref="H626:I628">I627</f>
        <v>0</v>
      </c>
    </row>
    <row r="627" spans="1:9" ht="13.5">
      <c r="A627" s="17" t="s">
        <v>406</v>
      </c>
      <c r="B627" s="77" t="s">
        <v>417</v>
      </c>
      <c r="C627" s="37" t="s">
        <v>396</v>
      </c>
      <c r="D627" s="37" t="s">
        <v>381</v>
      </c>
      <c r="E627" s="37" t="s">
        <v>39</v>
      </c>
      <c r="F627" s="37" t="s">
        <v>414</v>
      </c>
      <c r="G627" s="85">
        <f t="shared" si="38"/>
        <v>1933.311</v>
      </c>
      <c r="H627" s="110">
        <f>H628+H633</f>
        <v>1933.311</v>
      </c>
      <c r="I627" s="110">
        <f>I628</f>
        <v>0</v>
      </c>
    </row>
    <row r="628" spans="1:9" ht="27">
      <c r="A628" s="17" t="s">
        <v>189</v>
      </c>
      <c r="B628" s="77" t="s">
        <v>417</v>
      </c>
      <c r="C628" s="37" t="s">
        <v>396</v>
      </c>
      <c r="D628" s="37" t="s">
        <v>381</v>
      </c>
      <c r="E628" s="37" t="s">
        <v>75</v>
      </c>
      <c r="F628" s="37" t="s">
        <v>157</v>
      </c>
      <c r="G628" s="85">
        <f t="shared" si="38"/>
        <v>4</v>
      </c>
      <c r="H628" s="85">
        <f t="shared" si="39"/>
        <v>4</v>
      </c>
      <c r="I628" s="85">
        <f t="shared" si="39"/>
        <v>0</v>
      </c>
    </row>
    <row r="629" spans="1:9" ht="41.25">
      <c r="A629" s="46" t="s">
        <v>190</v>
      </c>
      <c r="B629" s="77" t="s">
        <v>417</v>
      </c>
      <c r="C629" s="37" t="s">
        <v>396</v>
      </c>
      <c r="D629" s="37" t="s">
        <v>381</v>
      </c>
      <c r="E629" s="37" t="s">
        <v>75</v>
      </c>
      <c r="F629" s="37" t="s">
        <v>191</v>
      </c>
      <c r="G629" s="85">
        <f t="shared" si="38"/>
        <v>4</v>
      </c>
      <c r="H629" s="85">
        <f>134-130</f>
        <v>4</v>
      </c>
      <c r="I629" s="85"/>
    </row>
    <row r="630" spans="1:9" ht="45" customHeight="1" hidden="1">
      <c r="A630" s="55" t="s">
        <v>287</v>
      </c>
      <c r="B630" s="77" t="s">
        <v>417</v>
      </c>
      <c r="C630" s="37" t="s">
        <v>396</v>
      </c>
      <c r="D630" s="37" t="s">
        <v>381</v>
      </c>
      <c r="E630" s="37" t="s">
        <v>75</v>
      </c>
      <c r="F630" s="59" t="s">
        <v>414</v>
      </c>
      <c r="G630" s="94">
        <f t="shared" si="38"/>
        <v>0</v>
      </c>
      <c r="H630" s="94">
        <f>H631</f>
        <v>0</v>
      </c>
      <c r="I630" s="94"/>
    </row>
    <row r="631" spans="1:9" ht="27" hidden="1">
      <c r="A631" s="17" t="s">
        <v>189</v>
      </c>
      <c r="B631" s="77" t="s">
        <v>417</v>
      </c>
      <c r="C631" s="37" t="s">
        <v>396</v>
      </c>
      <c r="D631" s="37" t="s">
        <v>381</v>
      </c>
      <c r="E631" s="37" t="s">
        <v>75</v>
      </c>
      <c r="F631" s="26" t="s">
        <v>157</v>
      </c>
      <c r="G631" s="110">
        <f t="shared" si="38"/>
        <v>0</v>
      </c>
      <c r="H631" s="110">
        <f>H632</f>
        <v>0</v>
      </c>
      <c r="I631" s="85"/>
    </row>
    <row r="632" spans="1:9" ht="41.25" hidden="1">
      <c r="A632" s="46" t="s">
        <v>190</v>
      </c>
      <c r="B632" s="77" t="s">
        <v>417</v>
      </c>
      <c r="C632" s="37" t="s">
        <v>396</v>
      </c>
      <c r="D632" s="37" t="s">
        <v>381</v>
      </c>
      <c r="E632" s="37" t="s">
        <v>75</v>
      </c>
      <c r="F632" s="26" t="s">
        <v>191</v>
      </c>
      <c r="G632" s="110">
        <f t="shared" si="38"/>
        <v>0</v>
      </c>
      <c r="H632" s="110"/>
      <c r="I632" s="85"/>
    </row>
    <row r="633" spans="1:9" ht="41.25">
      <c r="A633" s="17" t="s">
        <v>212</v>
      </c>
      <c r="B633" s="77" t="s">
        <v>417</v>
      </c>
      <c r="C633" s="37" t="s">
        <v>396</v>
      </c>
      <c r="D633" s="37" t="s">
        <v>381</v>
      </c>
      <c r="E633" s="37" t="s">
        <v>75</v>
      </c>
      <c r="F633" s="26" t="s">
        <v>213</v>
      </c>
      <c r="G633" s="110">
        <f>H633</f>
        <v>1929.311</v>
      </c>
      <c r="H633" s="110">
        <f>H634</f>
        <v>1929.311</v>
      </c>
      <c r="I633" s="85"/>
    </row>
    <row r="634" spans="1:9" ht="13.5">
      <c r="A634" s="17" t="s">
        <v>214</v>
      </c>
      <c r="B634" s="77" t="s">
        <v>417</v>
      </c>
      <c r="C634" s="37" t="s">
        <v>396</v>
      </c>
      <c r="D634" s="37" t="s">
        <v>381</v>
      </c>
      <c r="E634" s="37" t="s">
        <v>75</v>
      </c>
      <c r="F634" s="26" t="s">
        <v>289</v>
      </c>
      <c r="G634" s="110">
        <f>H634</f>
        <v>1929.311</v>
      </c>
      <c r="H634" s="110">
        <f>2000+120-112.5-78.189</f>
        <v>1929.311</v>
      </c>
      <c r="I634" s="85"/>
    </row>
    <row r="635" spans="1:9" ht="70.5" customHeight="1">
      <c r="A635" s="56" t="s">
        <v>533</v>
      </c>
      <c r="B635" s="74" t="s">
        <v>417</v>
      </c>
      <c r="C635" s="59" t="s">
        <v>396</v>
      </c>
      <c r="D635" s="59" t="s">
        <v>381</v>
      </c>
      <c r="E635" s="59" t="s">
        <v>322</v>
      </c>
      <c r="F635" s="59" t="s">
        <v>414</v>
      </c>
      <c r="G635" s="94">
        <f>H635+I635</f>
        <v>1103.2</v>
      </c>
      <c r="H635" s="94">
        <f>H636+H638</f>
        <v>1103.2</v>
      </c>
      <c r="I635" s="94"/>
    </row>
    <row r="636" spans="1:9" ht="34.5" customHeight="1">
      <c r="A636" s="17" t="s">
        <v>189</v>
      </c>
      <c r="B636" s="22" t="s">
        <v>417</v>
      </c>
      <c r="C636" s="37" t="s">
        <v>396</v>
      </c>
      <c r="D636" s="37" t="s">
        <v>381</v>
      </c>
      <c r="E636" s="37" t="s">
        <v>910</v>
      </c>
      <c r="F636" s="37" t="s">
        <v>157</v>
      </c>
      <c r="G636" s="85">
        <f>H636</f>
        <v>158</v>
      </c>
      <c r="H636" s="85">
        <f>H637</f>
        <v>158</v>
      </c>
      <c r="I636" s="85"/>
    </row>
    <row r="637" spans="1:9" ht="45.75" customHeight="1">
      <c r="A637" s="46" t="s">
        <v>190</v>
      </c>
      <c r="B637" s="22" t="s">
        <v>417</v>
      </c>
      <c r="C637" s="37" t="s">
        <v>396</v>
      </c>
      <c r="D637" s="37" t="s">
        <v>381</v>
      </c>
      <c r="E637" s="37" t="s">
        <v>910</v>
      </c>
      <c r="F637" s="37" t="s">
        <v>191</v>
      </c>
      <c r="G637" s="85">
        <f>H637</f>
        <v>158</v>
      </c>
      <c r="H637" s="85">
        <v>158</v>
      </c>
      <c r="I637" s="85"/>
    </row>
    <row r="638" spans="1:9" ht="42" customHeight="1">
      <c r="A638" s="17" t="s">
        <v>212</v>
      </c>
      <c r="B638" s="77" t="s">
        <v>417</v>
      </c>
      <c r="C638" s="26" t="s">
        <v>396</v>
      </c>
      <c r="D638" s="26" t="s">
        <v>381</v>
      </c>
      <c r="E638" s="37" t="s">
        <v>532</v>
      </c>
      <c r="F638" s="37" t="s">
        <v>213</v>
      </c>
      <c r="G638" s="110">
        <f>H638+I638</f>
        <v>945.2</v>
      </c>
      <c r="H638" s="110">
        <f>H639</f>
        <v>945.2</v>
      </c>
      <c r="I638" s="85"/>
    </row>
    <row r="639" spans="1:9" ht="28.5" customHeight="1">
      <c r="A639" s="17" t="s">
        <v>133</v>
      </c>
      <c r="B639" s="77" t="s">
        <v>417</v>
      </c>
      <c r="C639" s="26" t="s">
        <v>396</v>
      </c>
      <c r="D639" s="26" t="s">
        <v>381</v>
      </c>
      <c r="E639" s="37" t="s">
        <v>532</v>
      </c>
      <c r="F639" s="37" t="s">
        <v>289</v>
      </c>
      <c r="G639" s="110">
        <f>H639+I639</f>
        <v>945.2</v>
      </c>
      <c r="H639" s="110">
        <f>1215-61.8-50-158</f>
        <v>945.2</v>
      </c>
      <c r="I639" s="85"/>
    </row>
    <row r="640" spans="1:9" ht="28.5" customHeight="1">
      <c r="A640" s="101" t="s">
        <v>151</v>
      </c>
      <c r="B640" s="77" t="s">
        <v>417</v>
      </c>
      <c r="C640" s="26" t="s">
        <v>396</v>
      </c>
      <c r="D640" s="26" t="s">
        <v>381</v>
      </c>
      <c r="E640" s="26" t="s">
        <v>10</v>
      </c>
      <c r="F640" s="26" t="s">
        <v>414</v>
      </c>
      <c r="G640" s="110">
        <f>H640</f>
        <v>287.5</v>
      </c>
      <c r="H640" s="110">
        <f>H641</f>
        <v>287.5</v>
      </c>
      <c r="I640" s="110"/>
    </row>
    <row r="641" spans="1:9" ht="42" customHeight="1">
      <c r="A641" s="76" t="s">
        <v>152</v>
      </c>
      <c r="B641" s="77" t="s">
        <v>417</v>
      </c>
      <c r="C641" s="26" t="s">
        <v>396</v>
      </c>
      <c r="D641" s="26" t="s">
        <v>381</v>
      </c>
      <c r="E641" s="26" t="s">
        <v>11</v>
      </c>
      <c r="F641" s="26" t="s">
        <v>414</v>
      </c>
      <c r="G641" s="110">
        <f>H641</f>
        <v>287.5</v>
      </c>
      <c r="H641" s="110">
        <f>H642</f>
        <v>287.5</v>
      </c>
      <c r="I641" s="110"/>
    </row>
    <row r="642" spans="1:9" ht="15.75" customHeight="1">
      <c r="A642" s="78" t="s">
        <v>907</v>
      </c>
      <c r="B642" s="77" t="s">
        <v>417</v>
      </c>
      <c r="C642" s="26" t="s">
        <v>396</v>
      </c>
      <c r="D642" s="26" t="s">
        <v>381</v>
      </c>
      <c r="E642" s="26" t="s">
        <v>908</v>
      </c>
      <c r="F642" s="26" t="s">
        <v>414</v>
      </c>
      <c r="G642" s="110">
        <f>H642</f>
        <v>287.5</v>
      </c>
      <c r="H642" s="110">
        <f>H643</f>
        <v>287.5</v>
      </c>
      <c r="I642" s="110"/>
    </row>
    <row r="643" spans="1:9" ht="28.5" customHeight="1">
      <c r="A643" s="76" t="s">
        <v>189</v>
      </c>
      <c r="B643" s="77" t="s">
        <v>417</v>
      </c>
      <c r="C643" s="26" t="s">
        <v>396</v>
      </c>
      <c r="D643" s="26" t="s">
        <v>381</v>
      </c>
      <c r="E643" s="26" t="s">
        <v>908</v>
      </c>
      <c r="F643" s="26" t="s">
        <v>157</v>
      </c>
      <c r="G643" s="110">
        <f>H643</f>
        <v>287.5</v>
      </c>
      <c r="H643" s="110">
        <f>H644</f>
        <v>287.5</v>
      </c>
      <c r="I643" s="110"/>
    </row>
    <row r="644" spans="1:9" ht="28.5" customHeight="1">
      <c r="A644" s="78" t="s">
        <v>190</v>
      </c>
      <c r="B644" s="77" t="s">
        <v>417</v>
      </c>
      <c r="C644" s="26" t="s">
        <v>396</v>
      </c>
      <c r="D644" s="26" t="s">
        <v>381</v>
      </c>
      <c r="E644" s="26" t="s">
        <v>908</v>
      </c>
      <c r="F644" s="26" t="s">
        <v>191</v>
      </c>
      <c r="G644" s="110">
        <f>H644</f>
        <v>287.5</v>
      </c>
      <c r="H644" s="110">
        <v>287.5</v>
      </c>
      <c r="I644" s="110"/>
    </row>
    <row r="645" spans="1:9" ht="13.5">
      <c r="A645" s="79" t="s">
        <v>230</v>
      </c>
      <c r="B645" s="173" t="s">
        <v>417</v>
      </c>
      <c r="C645" s="80" t="s">
        <v>231</v>
      </c>
      <c r="D645" s="80" t="s">
        <v>149</v>
      </c>
      <c r="E645" s="80" t="s">
        <v>322</v>
      </c>
      <c r="F645" s="80" t="s">
        <v>414</v>
      </c>
      <c r="G645" s="93">
        <f>H645+I645</f>
        <v>8495.259</v>
      </c>
      <c r="H645" s="123">
        <f>H650</f>
        <v>0</v>
      </c>
      <c r="I645" s="123">
        <f>I646+I650+I658</f>
        <v>8495.259</v>
      </c>
    </row>
    <row r="646" spans="1:9" ht="14.25">
      <c r="A646" s="75" t="s">
        <v>602</v>
      </c>
      <c r="B646" s="87" t="s">
        <v>417</v>
      </c>
      <c r="C646" s="73" t="s">
        <v>231</v>
      </c>
      <c r="D646" s="73" t="s">
        <v>155</v>
      </c>
      <c r="E646" s="73" t="s">
        <v>322</v>
      </c>
      <c r="F646" s="73" t="s">
        <v>414</v>
      </c>
      <c r="G646" s="93">
        <f>H646+I646</f>
        <v>2160</v>
      </c>
      <c r="H646" s="123">
        <f aca="true" t="shared" si="40" ref="H646:I648">H647</f>
        <v>0</v>
      </c>
      <c r="I646" s="123">
        <f>I647</f>
        <v>2160</v>
      </c>
    </row>
    <row r="647" spans="1:9" ht="82.5">
      <c r="A647" s="55" t="s">
        <v>603</v>
      </c>
      <c r="B647" s="22" t="s">
        <v>417</v>
      </c>
      <c r="C647" s="37" t="s">
        <v>231</v>
      </c>
      <c r="D647" s="37" t="s">
        <v>155</v>
      </c>
      <c r="E647" s="59" t="s">
        <v>49</v>
      </c>
      <c r="F647" s="59" t="s">
        <v>414</v>
      </c>
      <c r="G647" s="94">
        <f>I647</f>
        <v>2160</v>
      </c>
      <c r="H647" s="94">
        <f t="shared" si="40"/>
        <v>0</v>
      </c>
      <c r="I647" s="94">
        <f t="shared" si="40"/>
        <v>2160</v>
      </c>
    </row>
    <row r="648" spans="1:9" ht="27">
      <c r="A648" s="17" t="s">
        <v>203</v>
      </c>
      <c r="B648" s="22" t="s">
        <v>417</v>
      </c>
      <c r="C648" s="37" t="s">
        <v>231</v>
      </c>
      <c r="D648" s="37" t="s">
        <v>155</v>
      </c>
      <c r="E648" s="37" t="s">
        <v>935</v>
      </c>
      <c r="F648" s="37" t="s">
        <v>158</v>
      </c>
      <c r="G648" s="85">
        <f>I648</f>
        <v>2160</v>
      </c>
      <c r="H648" s="85">
        <f t="shared" si="40"/>
        <v>0</v>
      </c>
      <c r="I648" s="85">
        <f t="shared" si="40"/>
        <v>2160</v>
      </c>
    </row>
    <row r="649" spans="1:9" ht="27">
      <c r="A649" s="17" t="s">
        <v>206</v>
      </c>
      <c r="B649" s="22" t="s">
        <v>417</v>
      </c>
      <c r="C649" s="37" t="s">
        <v>231</v>
      </c>
      <c r="D649" s="37" t="s">
        <v>155</v>
      </c>
      <c r="E649" s="37" t="s">
        <v>935</v>
      </c>
      <c r="F649" s="37" t="s">
        <v>207</v>
      </c>
      <c r="G649" s="85">
        <f>I649</f>
        <v>2160</v>
      </c>
      <c r="H649" s="85"/>
      <c r="I649" s="85">
        <v>2160</v>
      </c>
    </row>
    <row r="650" spans="1:10" ht="14.25">
      <c r="A650" s="75" t="s">
        <v>407</v>
      </c>
      <c r="B650" s="87" t="s">
        <v>417</v>
      </c>
      <c r="C650" s="73" t="s">
        <v>231</v>
      </c>
      <c r="D650" s="73" t="s">
        <v>159</v>
      </c>
      <c r="E650" s="73" t="s">
        <v>322</v>
      </c>
      <c r="F650" s="73" t="s">
        <v>414</v>
      </c>
      <c r="G650" s="88">
        <f aca="true" t="shared" si="41" ref="G650:G662">H650+I650</f>
        <v>6035.259</v>
      </c>
      <c r="H650" s="88">
        <f>H651</f>
        <v>0</v>
      </c>
      <c r="I650" s="88">
        <f>I653</f>
        <v>6035.259</v>
      </c>
      <c r="J650" s="84"/>
    </row>
    <row r="651" spans="1:9" ht="41.25">
      <c r="A651" s="55" t="s">
        <v>477</v>
      </c>
      <c r="B651" s="171" t="s">
        <v>417</v>
      </c>
      <c r="C651" s="59" t="s">
        <v>231</v>
      </c>
      <c r="D651" s="59" t="s">
        <v>149</v>
      </c>
      <c r="E651" s="59" t="s">
        <v>31</v>
      </c>
      <c r="F651" s="59" t="s">
        <v>414</v>
      </c>
      <c r="G651" s="85">
        <f t="shared" si="41"/>
        <v>6035.259</v>
      </c>
      <c r="H651" s="110">
        <f>H652</f>
        <v>0</v>
      </c>
      <c r="I651" s="110">
        <f>I652</f>
        <v>6035.259</v>
      </c>
    </row>
    <row r="652" spans="1:9" ht="41.25">
      <c r="A652" s="81" t="s">
        <v>260</v>
      </c>
      <c r="B652" s="77" t="s">
        <v>417</v>
      </c>
      <c r="C652" s="37" t="s">
        <v>231</v>
      </c>
      <c r="D652" s="37" t="s">
        <v>159</v>
      </c>
      <c r="E652" s="37" t="s">
        <v>44</v>
      </c>
      <c r="F652" s="37" t="s">
        <v>414</v>
      </c>
      <c r="G652" s="85">
        <f t="shared" si="41"/>
        <v>6035.259</v>
      </c>
      <c r="H652" s="110">
        <f>H653</f>
        <v>0</v>
      </c>
      <c r="I652" s="110">
        <f>I653</f>
        <v>6035.259</v>
      </c>
    </row>
    <row r="653" spans="1:9" ht="69">
      <c r="A653" s="17" t="s">
        <v>233</v>
      </c>
      <c r="B653" s="22" t="s">
        <v>417</v>
      </c>
      <c r="C653" s="37" t="s">
        <v>231</v>
      </c>
      <c r="D653" s="37" t="s">
        <v>159</v>
      </c>
      <c r="E653" s="37" t="s">
        <v>90</v>
      </c>
      <c r="F653" s="37" t="s">
        <v>414</v>
      </c>
      <c r="G653" s="85">
        <f t="shared" si="41"/>
        <v>6035.259</v>
      </c>
      <c r="H653" s="85">
        <f>H655</f>
        <v>0</v>
      </c>
      <c r="I653" s="85">
        <f>I654+I655</f>
        <v>6035.259</v>
      </c>
    </row>
    <row r="654" spans="1:9" ht="41.25">
      <c r="A654" s="46" t="s">
        <v>190</v>
      </c>
      <c r="B654" s="22" t="s">
        <v>417</v>
      </c>
      <c r="C654" s="37" t="s">
        <v>231</v>
      </c>
      <c r="D654" s="37" t="s">
        <v>159</v>
      </c>
      <c r="E654" s="37" t="s">
        <v>90</v>
      </c>
      <c r="F654" s="37" t="s">
        <v>191</v>
      </c>
      <c r="G654" s="85">
        <f t="shared" si="41"/>
        <v>90.529</v>
      </c>
      <c r="H654" s="85"/>
      <c r="I654" s="85">
        <v>90.529</v>
      </c>
    </row>
    <row r="655" spans="1:9" ht="27">
      <c r="A655" s="52" t="s">
        <v>204</v>
      </c>
      <c r="B655" s="22" t="s">
        <v>417</v>
      </c>
      <c r="C655" s="37" t="s">
        <v>231</v>
      </c>
      <c r="D655" s="37" t="s">
        <v>159</v>
      </c>
      <c r="E655" s="37" t="s">
        <v>90</v>
      </c>
      <c r="F655" s="13">
        <v>310</v>
      </c>
      <c r="G655" s="85">
        <f t="shared" si="41"/>
        <v>5944.73</v>
      </c>
      <c r="H655" s="85"/>
      <c r="I655" s="85">
        <v>5944.73</v>
      </c>
    </row>
    <row r="656" spans="1:9" ht="41.25">
      <c r="A656" s="55" t="s">
        <v>478</v>
      </c>
      <c r="B656" s="22" t="s">
        <v>417</v>
      </c>
      <c r="C656" s="37" t="s">
        <v>231</v>
      </c>
      <c r="D656" s="37" t="s">
        <v>159</v>
      </c>
      <c r="E656" s="59" t="s">
        <v>31</v>
      </c>
      <c r="F656" s="59" t="s">
        <v>414</v>
      </c>
      <c r="G656" s="85">
        <f t="shared" si="41"/>
        <v>300</v>
      </c>
      <c r="H656" s="85"/>
      <c r="I656" s="85">
        <f>I657</f>
        <v>300</v>
      </c>
    </row>
    <row r="657" spans="1:9" ht="27">
      <c r="A657" s="81" t="s">
        <v>466</v>
      </c>
      <c r="B657" s="22" t="s">
        <v>417</v>
      </c>
      <c r="C657" s="37" t="s">
        <v>231</v>
      </c>
      <c r="D657" s="37" t="s">
        <v>159</v>
      </c>
      <c r="E657" s="37" t="s">
        <v>66</v>
      </c>
      <c r="F657" s="37" t="s">
        <v>414</v>
      </c>
      <c r="G657" s="85">
        <f t="shared" si="41"/>
        <v>300</v>
      </c>
      <c r="H657" s="85"/>
      <c r="I657" s="85">
        <f>I658</f>
        <v>300</v>
      </c>
    </row>
    <row r="658" spans="1:9" ht="54.75">
      <c r="A658" s="79" t="s">
        <v>748</v>
      </c>
      <c r="B658" s="173" t="s">
        <v>417</v>
      </c>
      <c r="C658" s="80" t="s">
        <v>231</v>
      </c>
      <c r="D658" s="80" t="s">
        <v>159</v>
      </c>
      <c r="E658" s="80" t="s">
        <v>66</v>
      </c>
      <c r="F658" s="80" t="s">
        <v>414</v>
      </c>
      <c r="G658" s="93">
        <f t="shared" si="41"/>
        <v>300</v>
      </c>
      <c r="H658" s="123"/>
      <c r="I658" s="123">
        <f>I659+I676</f>
        <v>300</v>
      </c>
    </row>
    <row r="659" spans="1:9" ht="27">
      <c r="A659" s="46" t="s">
        <v>203</v>
      </c>
      <c r="B659" s="77" t="s">
        <v>417</v>
      </c>
      <c r="C659" s="37" t="s">
        <v>231</v>
      </c>
      <c r="D659" s="37" t="s">
        <v>159</v>
      </c>
      <c r="E659" s="37" t="s">
        <v>67</v>
      </c>
      <c r="F659" s="37" t="s">
        <v>158</v>
      </c>
      <c r="G659" s="85">
        <f t="shared" si="41"/>
        <v>300</v>
      </c>
      <c r="H659" s="110"/>
      <c r="I659" s="110">
        <f>I660</f>
        <v>300</v>
      </c>
    </row>
    <row r="660" spans="1:9" ht="33" customHeight="1">
      <c r="A660" s="46" t="s">
        <v>204</v>
      </c>
      <c r="B660" s="22" t="s">
        <v>417</v>
      </c>
      <c r="C660" s="37" t="s">
        <v>231</v>
      </c>
      <c r="D660" s="37" t="s">
        <v>159</v>
      </c>
      <c r="E660" s="37" t="s">
        <v>67</v>
      </c>
      <c r="F660" s="37" t="s">
        <v>205</v>
      </c>
      <c r="G660" s="85">
        <f t="shared" si="41"/>
        <v>300</v>
      </c>
      <c r="H660" s="85"/>
      <c r="I660" s="85">
        <v>300</v>
      </c>
    </row>
    <row r="661" spans="1:9" ht="17.25" customHeight="1" hidden="1">
      <c r="A661" s="79" t="s">
        <v>234</v>
      </c>
      <c r="B661" s="86" t="s">
        <v>417</v>
      </c>
      <c r="C661" s="80" t="s">
        <v>166</v>
      </c>
      <c r="D661" s="80" t="s">
        <v>149</v>
      </c>
      <c r="E661" s="80" t="s">
        <v>322</v>
      </c>
      <c r="F661" s="80" t="s">
        <v>414</v>
      </c>
      <c r="G661" s="93">
        <f t="shared" si="41"/>
        <v>0</v>
      </c>
      <c r="H661" s="93">
        <f>H662+H669</f>
        <v>0</v>
      </c>
      <c r="I661" s="93">
        <f>I662+I669</f>
        <v>0</v>
      </c>
    </row>
    <row r="662" spans="1:9" ht="30.75" customHeight="1" hidden="1">
      <c r="A662" s="79" t="s">
        <v>729</v>
      </c>
      <c r="B662" s="22" t="s">
        <v>417</v>
      </c>
      <c r="C662" s="80" t="s">
        <v>166</v>
      </c>
      <c r="D662" s="80" t="s">
        <v>150</v>
      </c>
      <c r="E662" s="80" t="s">
        <v>91</v>
      </c>
      <c r="F662" s="80" t="s">
        <v>414</v>
      </c>
      <c r="G662" s="93">
        <f t="shared" si="41"/>
        <v>0</v>
      </c>
      <c r="H662" s="93">
        <f>H666</f>
        <v>0</v>
      </c>
      <c r="I662" s="93">
        <f>I663</f>
        <v>0</v>
      </c>
    </row>
    <row r="663" spans="1:9" ht="56.25" customHeight="1" hidden="1">
      <c r="A663" s="56" t="s">
        <v>735</v>
      </c>
      <c r="B663" s="22" t="s">
        <v>417</v>
      </c>
      <c r="C663" s="59" t="s">
        <v>166</v>
      </c>
      <c r="D663" s="59" t="s">
        <v>150</v>
      </c>
      <c r="E663" s="37" t="s">
        <v>732</v>
      </c>
      <c r="F663" s="37" t="s">
        <v>414</v>
      </c>
      <c r="G663" s="94">
        <f>I663</f>
        <v>0</v>
      </c>
      <c r="H663" s="94"/>
      <c r="I663" s="94">
        <f>I664</f>
        <v>0</v>
      </c>
    </row>
    <row r="664" spans="1:9" ht="42.75" customHeight="1" hidden="1">
      <c r="A664" s="17" t="s">
        <v>610</v>
      </c>
      <c r="B664" s="22" t="s">
        <v>417</v>
      </c>
      <c r="C664" s="37" t="s">
        <v>166</v>
      </c>
      <c r="D664" s="37" t="s">
        <v>150</v>
      </c>
      <c r="E664" s="37" t="s">
        <v>732</v>
      </c>
      <c r="F664" s="37" t="s">
        <v>213</v>
      </c>
      <c r="G664" s="85">
        <f>I664</f>
        <v>0</v>
      </c>
      <c r="H664" s="85"/>
      <c r="I664" s="85">
        <f>I665</f>
        <v>0</v>
      </c>
    </row>
    <row r="665" spans="1:9" ht="18" customHeight="1" hidden="1">
      <c r="A665" s="17" t="s">
        <v>177</v>
      </c>
      <c r="B665" s="22" t="s">
        <v>417</v>
      </c>
      <c r="C665" s="37" t="s">
        <v>166</v>
      </c>
      <c r="D665" s="37" t="s">
        <v>150</v>
      </c>
      <c r="E665" s="37" t="s">
        <v>732</v>
      </c>
      <c r="F665" s="37" t="s">
        <v>289</v>
      </c>
      <c r="G665" s="85">
        <f>I665</f>
        <v>0</v>
      </c>
      <c r="H665" s="85"/>
      <c r="I665" s="85">
        <v>0</v>
      </c>
    </row>
    <row r="666" spans="1:9" ht="69.75" customHeight="1" hidden="1">
      <c r="A666" s="56" t="s">
        <v>736</v>
      </c>
      <c r="B666" s="22" t="s">
        <v>417</v>
      </c>
      <c r="C666" s="59" t="s">
        <v>166</v>
      </c>
      <c r="D666" s="59" t="s">
        <v>150</v>
      </c>
      <c r="E666" s="37" t="s">
        <v>733</v>
      </c>
      <c r="F666" s="37" t="s">
        <v>414</v>
      </c>
      <c r="G666" s="94">
        <f>H666</f>
        <v>0</v>
      </c>
      <c r="H666" s="94">
        <f>H667</f>
        <v>0</v>
      </c>
      <c r="I666" s="94"/>
    </row>
    <row r="667" spans="1:9" ht="43.5" customHeight="1" hidden="1">
      <c r="A667" s="17" t="s">
        <v>610</v>
      </c>
      <c r="B667" s="22" t="s">
        <v>417</v>
      </c>
      <c r="C667" s="37" t="s">
        <v>166</v>
      </c>
      <c r="D667" s="37" t="s">
        <v>150</v>
      </c>
      <c r="E667" s="37" t="s">
        <v>733</v>
      </c>
      <c r="F667" s="37" t="s">
        <v>213</v>
      </c>
      <c r="G667" s="85">
        <f>H667</f>
        <v>0</v>
      </c>
      <c r="H667" s="85">
        <f>H668</f>
        <v>0</v>
      </c>
      <c r="I667" s="85"/>
    </row>
    <row r="668" spans="1:9" ht="16.5" customHeight="1" hidden="1">
      <c r="A668" s="17" t="s">
        <v>177</v>
      </c>
      <c r="B668" s="22" t="s">
        <v>417</v>
      </c>
      <c r="C668" s="37" t="s">
        <v>166</v>
      </c>
      <c r="D668" s="37" t="s">
        <v>150</v>
      </c>
      <c r="E668" s="37" t="s">
        <v>733</v>
      </c>
      <c r="F668" s="37" t="s">
        <v>289</v>
      </c>
      <c r="G668" s="85">
        <f>H668</f>
        <v>0</v>
      </c>
      <c r="H668" s="85">
        <v>0</v>
      </c>
      <c r="I668" s="85"/>
    </row>
    <row r="669" spans="1:9" ht="44.25" customHeight="1" hidden="1">
      <c r="A669" s="82" t="s">
        <v>608</v>
      </c>
      <c r="B669" s="86" t="s">
        <v>417</v>
      </c>
      <c r="C669" s="80" t="s">
        <v>166</v>
      </c>
      <c r="D669" s="80" t="s">
        <v>150</v>
      </c>
      <c r="E669" s="80" t="s">
        <v>91</v>
      </c>
      <c r="F669" s="80" t="s">
        <v>414</v>
      </c>
      <c r="G669" s="93">
        <f>H669+I669</f>
        <v>0</v>
      </c>
      <c r="H669" s="93">
        <f>H673</f>
        <v>0</v>
      </c>
      <c r="I669" s="93">
        <f>I670</f>
        <v>0</v>
      </c>
    </row>
    <row r="670" spans="1:9" ht="72" customHeight="1" hidden="1">
      <c r="A670" s="56" t="s">
        <v>627</v>
      </c>
      <c r="B670" s="74" t="s">
        <v>417</v>
      </c>
      <c r="C670" s="59" t="s">
        <v>166</v>
      </c>
      <c r="D670" s="59" t="s">
        <v>150</v>
      </c>
      <c r="E670" s="59" t="s">
        <v>609</v>
      </c>
      <c r="F670" s="59" t="s">
        <v>414</v>
      </c>
      <c r="G670" s="94">
        <f>I670</f>
        <v>0</v>
      </c>
      <c r="H670" s="94"/>
      <c r="I670" s="94">
        <f>I671</f>
        <v>0</v>
      </c>
    </row>
    <row r="671" spans="1:9" ht="43.5" customHeight="1" hidden="1">
      <c r="A671" s="17" t="s">
        <v>610</v>
      </c>
      <c r="B671" s="22" t="s">
        <v>417</v>
      </c>
      <c r="C671" s="37" t="s">
        <v>166</v>
      </c>
      <c r="D671" s="37" t="s">
        <v>150</v>
      </c>
      <c r="E671" s="37" t="s">
        <v>609</v>
      </c>
      <c r="F671" s="37" t="s">
        <v>213</v>
      </c>
      <c r="G671" s="85">
        <f>I671</f>
        <v>0</v>
      </c>
      <c r="H671" s="85"/>
      <c r="I671" s="85">
        <f>I672</f>
        <v>0</v>
      </c>
    </row>
    <row r="672" spans="1:9" ht="20.25" customHeight="1" hidden="1">
      <c r="A672" s="17" t="s">
        <v>177</v>
      </c>
      <c r="B672" s="22" t="s">
        <v>417</v>
      </c>
      <c r="C672" s="37" t="s">
        <v>166</v>
      </c>
      <c r="D672" s="37" t="s">
        <v>150</v>
      </c>
      <c r="E672" s="37" t="s">
        <v>609</v>
      </c>
      <c r="F672" s="37" t="s">
        <v>289</v>
      </c>
      <c r="G672" s="85">
        <f>I672</f>
        <v>0</v>
      </c>
      <c r="H672" s="85"/>
      <c r="I672" s="85">
        <v>0</v>
      </c>
    </row>
    <row r="673" spans="1:9" ht="85.5" customHeight="1" hidden="1">
      <c r="A673" s="56" t="s">
        <v>628</v>
      </c>
      <c r="B673" s="74" t="s">
        <v>417</v>
      </c>
      <c r="C673" s="59" t="s">
        <v>166</v>
      </c>
      <c r="D673" s="59" t="s">
        <v>150</v>
      </c>
      <c r="E673" s="59" t="s">
        <v>611</v>
      </c>
      <c r="F673" s="59" t="s">
        <v>414</v>
      </c>
      <c r="G673" s="94">
        <f>H673</f>
        <v>0</v>
      </c>
      <c r="H673" s="94">
        <f>H674</f>
        <v>0</v>
      </c>
      <c r="I673" s="94"/>
    </row>
    <row r="674" spans="1:9" ht="42" customHeight="1" hidden="1">
      <c r="A674" s="17" t="s">
        <v>610</v>
      </c>
      <c r="B674" s="22" t="s">
        <v>417</v>
      </c>
      <c r="C674" s="37" t="s">
        <v>166</v>
      </c>
      <c r="D674" s="37" t="s">
        <v>150</v>
      </c>
      <c r="E674" s="37" t="s">
        <v>611</v>
      </c>
      <c r="F674" s="37" t="s">
        <v>213</v>
      </c>
      <c r="G674" s="85">
        <f>H674</f>
        <v>0</v>
      </c>
      <c r="H674" s="85">
        <f>H675</f>
        <v>0</v>
      </c>
      <c r="I674" s="85"/>
    </row>
    <row r="675" spans="1:9" ht="23.25" customHeight="1" hidden="1">
      <c r="A675" s="17" t="s">
        <v>177</v>
      </c>
      <c r="B675" s="22" t="s">
        <v>417</v>
      </c>
      <c r="C675" s="37" t="s">
        <v>166</v>
      </c>
      <c r="D675" s="37" t="s">
        <v>150</v>
      </c>
      <c r="E675" s="37" t="s">
        <v>611</v>
      </c>
      <c r="F675" s="37" t="s">
        <v>289</v>
      </c>
      <c r="G675" s="85">
        <f>H675</f>
        <v>0</v>
      </c>
      <c r="H675" s="85">
        <v>0</v>
      </c>
      <c r="I675" s="85"/>
    </row>
    <row r="676" spans="1:9" ht="27">
      <c r="A676" s="240" t="s">
        <v>140</v>
      </c>
      <c r="B676" s="173" t="s">
        <v>416</v>
      </c>
      <c r="C676" s="173" t="s">
        <v>149</v>
      </c>
      <c r="D676" s="173" t="s">
        <v>149</v>
      </c>
      <c r="E676" s="173" t="s">
        <v>322</v>
      </c>
      <c r="F676" s="173" t="s">
        <v>414</v>
      </c>
      <c r="G676" s="93">
        <f aca="true" t="shared" si="42" ref="G676:G686">H676+I676</f>
        <v>1680.7</v>
      </c>
      <c r="H676" s="123">
        <f>H677</f>
        <v>1680.7</v>
      </c>
      <c r="I676" s="123">
        <f>I677</f>
        <v>0</v>
      </c>
    </row>
    <row r="677" spans="1:9" ht="41.25">
      <c r="A677" s="52" t="s">
        <v>403</v>
      </c>
      <c r="B677" s="77" t="s">
        <v>416</v>
      </c>
      <c r="C677" s="37" t="s">
        <v>148</v>
      </c>
      <c r="D677" s="37" t="s">
        <v>161</v>
      </c>
      <c r="E677" s="37" t="s">
        <v>322</v>
      </c>
      <c r="F677" s="37" t="s">
        <v>414</v>
      </c>
      <c r="G677" s="85">
        <f t="shared" si="42"/>
        <v>1680.7</v>
      </c>
      <c r="H677" s="110">
        <f>H678</f>
        <v>1680.7</v>
      </c>
      <c r="I677" s="110">
        <f>I678</f>
        <v>0</v>
      </c>
    </row>
    <row r="678" spans="1:9" ht="27">
      <c r="A678" s="52" t="s">
        <v>162</v>
      </c>
      <c r="B678" s="77" t="s">
        <v>416</v>
      </c>
      <c r="C678" s="37" t="s">
        <v>148</v>
      </c>
      <c r="D678" s="37" t="s">
        <v>161</v>
      </c>
      <c r="E678" s="37" t="s">
        <v>10</v>
      </c>
      <c r="F678" s="37" t="s">
        <v>414</v>
      </c>
      <c r="G678" s="85">
        <f t="shared" si="42"/>
        <v>1680.7</v>
      </c>
      <c r="H678" s="110">
        <f>H679</f>
        <v>1680.7</v>
      </c>
      <c r="I678" s="110">
        <f>I679+I684</f>
        <v>0</v>
      </c>
    </row>
    <row r="679" spans="1:9" ht="41.25">
      <c r="A679" s="17" t="s">
        <v>163</v>
      </c>
      <c r="B679" s="77" t="s">
        <v>416</v>
      </c>
      <c r="C679" s="37" t="s">
        <v>148</v>
      </c>
      <c r="D679" s="37" t="s">
        <v>161</v>
      </c>
      <c r="E679" s="37" t="s">
        <v>11</v>
      </c>
      <c r="F679" s="37" t="s">
        <v>414</v>
      </c>
      <c r="G679" s="85">
        <f t="shared" si="42"/>
        <v>1680.7</v>
      </c>
      <c r="H679" s="110">
        <f>H680+H682+H684</f>
        <v>1680.7</v>
      </c>
      <c r="I679" s="110">
        <f>I680+I682+I684</f>
        <v>0</v>
      </c>
    </row>
    <row r="680" spans="1:9" ht="27">
      <c r="A680" s="17" t="s">
        <v>189</v>
      </c>
      <c r="B680" s="77" t="s">
        <v>416</v>
      </c>
      <c r="C680" s="37" t="s">
        <v>148</v>
      </c>
      <c r="D680" s="37" t="s">
        <v>161</v>
      </c>
      <c r="E680" s="37" t="s">
        <v>14</v>
      </c>
      <c r="F680" s="37" t="s">
        <v>157</v>
      </c>
      <c r="G680" s="85">
        <f t="shared" si="42"/>
        <v>93.3</v>
      </c>
      <c r="H680" s="110">
        <f>H681</f>
        <v>93.3</v>
      </c>
      <c r="I680" s="110">
        <f>I681</f>
        <v>0</v>
      </c>
    </row>
    <row r="681" spans="1:9" ht="41.25">
      <c r="A681" s="17" t="s">
        <v>190</v>
      </c>
      <c r="B681" s="77" t="s">
        <v>416</v>
      </c>
      <c r="C681" s="37" t="s">
        <v>148</v>
      </c>
      <c r="D681" s="37" t="s">
        <v>161</v>
      </c>
      <c r="E681" s="37" t="s">
        <v>14</v>
      </c>
      <c r="F681" s="37" t="s">
        <v>191</v>
      </c>
      <c r="G681" s="85">
        <f t="shared" si="42"/>
        <v>93.3</v>
      </c>
      <c r="H681" s="85">
        <v>93.3</v>
      </c>
      <c r="I681" s="110"/>
    </row>
    <row r="682" spans="1:9" ht="13.5">
      <c r="A682" s="17" t="s">
        <v>194</v>
      </c>
      <c r="B682" s="77" t="s">
        <v>416</v>
      </c>
      <c r="C682" s="37" t="s">
        <v>148</v>
      </c>
      <c r="D682" s="37" t="s">
        <v>161</v>
      </c>
      <c r="E682" s="37" t="s">
        <v>14</v>
      </c>
      <c r="F682" s="37" t="s">
        <v>195</v>
      </c>
      <c r="G682" s="85">
        <f t="shared" si="42"/>
        <v>2</v>
      </c>
      <c r="H682" s="85">
        <f>H683</f>
        <v>2</v>
      </c>
      <c r="I682" s="110"/>
    </row>
    <row r="683" spans="1:9" ht="13.5">
      <c r="A683" s="17" t="s">
        <v>192</v>
      </c>
      <c r="B683" s="77" t="s">
        <v>416</v>
      </c>
      <c r="C683" s="37" t="s">
        <v>148</v>
      </c>
      <c r="D683" s="37" t="s">
        <v>161</v>
      </c>
      <c r="E683" s="37" t="s">
        <v>14</v>
      </c>
      <c r="F683" s="37" t="s">
        <v>193</v>
      </c>
      <c r="G683" s="85">
        <f t="shared" si="42"/>
        <v>2</v>
      </c>
      <c r="H683" s="85">
        <v>2</v>
      </c>
      <c r="I683" s="110"/>
    </row>
    <row r="684" spans="1:9" ht="13.5">
      <c r="A684" s="55" t="s">
        <v>164</v>
      </c>
      <c r="B684" s="171" t="s">
        <v>416</v>
      </c>
      <c r="C684" s="59" t="s">
        <v>148</v>
      </c>
      <c r="D684" s="59" t="s">
        <v>161</v>
      </c>
      <c r="E684" s="59" t="s">
        <v>15</v>
      </c>
      <c r="F684" s="59" t="s">
        <v>414</v>
      </c>
      <c r="G684" s="94">
        <f t="shared" si="42"/>
        <v>1585.4</v>
      </c>
      <c r="H684" s="122">
        <f>H685</f>
        <v>1585.4</v>
      </c>
      <c r="I684" s="122">
        <f>I685</f>
        <v>0</v>
      </c>
    </row>
    <row r="685" spans="1:9" ht="82.5" customHeight="1">
      <c r="A685" s="17" t="s">
        <v>186</v>
      </c>
      <c r="B685" s="77" t="s">
        <v>416</v>
      </c>
      <c r="C685" s="37" t="s">
        <v>148</v>
      </c>
      <c r="D685" s="37" t="s">
        <v>161</v>
      </c>
      <c r="E685" s="37" t="s">
        <v>15</v>
      </c>
      <c r="F685" s="37" t="s">
        <v>153</v>
      </c>
      <c r="G685" s="85">
        <f t="shared" si="42"/>
        <v>1585.4</v>
      </c>
      <c r="H685" s="85">
        <f>H686</f>
        <v>1585.4</v>
      </c>
      <c r="I685" s="85">
        <f>I686</f>
        <v>0</v>
      </c>
    </row>
    <row r="686" spans="1:9" ht="29.25" customHeight="1">
      <c r="A686" s="17" t="s">
        <v>188</v>
      </c>
      <c r="B686" s="77" t="s">
        <v>416</v>
      </c>
      <c r="C686" s="37" t="s">
        <v>148</v>
      </c>
      <c r="D686" s="37" t="s">
        <v>161</v>
      </c>
      <c r="E686" s="37" t="s">
        <v>15</v>
      </c>
      <c r="F686" s="37" t="s">
        <v>187</v>
      </c>
      <c r="G686" s="85">
        <f t="shared" si="42"/>
        <v>1585.4</v>
      </c>
      <c r="H686" s="85">
        <v>1585.4</v>
      </c>
      <c r="I686" s="124"/>
    </row>
    <row r="687" spans="1:9" s="41" customFormat="1" ht="13.5">
      <c r="A687" s="294" t="s">
        <v>141</v>
      </c>
      <c r="B687" s="295"/>
      <c r="C687" s="295"/>
      <c r="D687" s="295"/>
      <c r="E687" s="295"/>
      <c r="F687" s="295"/>
      <c r="G687" s="93">
        <f>I687+H687</f>
        <v>624918.3171399999</v>
      </c>
      <c r="H687" s="93">
        <f>H12+H436+H452+H491+H676</f>
        <v>311118.97013000003</v>
      </c>
      <c r="I687" s="93">
        <f>I12+I436+I452+I491+I676</f>
        <v>313799.34700999997</v>
      </c>
    </row>
    <row r="688" spans="7:8" ht="13.5">
      <c r="G688" s="207"/>
      <c r="H688" s="208"/>
    </row>
    <row r="689" spans="6:9" ht="13.5">
      <c r="F689" s="35"/>
      <c r="G689" s="68"/>
      <c r="H689" s="84"/>
      <c r="I689" s="84"/>
    </row>
    <row r="690" spans="6:9" ht="13.5">
      <c r="F690" s="35"/>
      <c r="G690" s="68"/>
      <c r="H690" s="84"/>
      <c r="I690" s="84"/>
    </row>
    <row r="691" spans="6:9" ht="13.5">
      <c r="F691" s="35"/>
      <c r="G691" s="68"/>
      <c r="H691" s="84"/>
      <c r="I691" s="84"/>
    </row>
    <row r="692" spans="5:9" ht="13.5">
      <c r="E692" s="290"/>
      <c r="F692" s="35"/>
      <c r="G692" s="216"/>
      <c r="H692" s="84"/>
      <c r="I692" s="84"/>
    </row>
    <row r="693" ht="13.5">
      <c r="G693" s="296"/>
    </row>
  </sheetData>
  <sheetProtection/>
  <mergeCells count="16">
    <mergeCell ref="G10:G11"/>
    <mergeCell ref="H10:I10"/>
    <mergeCell ref="G1:I1"/>
    <mergeCell ref="F2:I2"/>
    <mergeCell ref="B3:F3"/>
    <mergeCell ref="G3:I3"/>
    <mergeCell ref="B4:F4"/>
    <mergeCell ref="G4:I4"/>
    <mergeCell ref="A6:I6"/>
    <mergeCell ref="A7:I7"/>
    <mergeCell ref="A10:A11"/>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tabColor rgb="FFFF0000"/>
  </sheetPr>
  <dimension ref="A1:G239"/>
  <sheetViews>
    <sheetView view="pageBreakPreview" zoomScaleSheetLayoutView="100" zoomScalePageLayoutView="0" workbookViewId="0" topLeftCell="A1">
      <selection activeCell="A219" sqref="A1:IV16384"/>
    </sheetView>
  </sheetViews>
  <sheetFormatPr defaultColWidth="8.625" defaultRowHeight="12.75"/>
  <cols>
    <col min="1" max="1" width="73.625" style="315" customWidth="1"/>
    <col min="2" max="2" width="6.625" style="35" customWidth="1"/>
    <col min="3" max="3" width="18.50390625" style="175" customWidth="1"/>
    <col min="4" max="4" width="14.625" style="68" customWidth="1"/>
    <col min="5" max="5" width="16.50390625" style="35" customWidth="1"/>
    <col min="6" max="6" width="14.375" style="35" customWidth="1"/>
    <col min="7" max="7" width="14.625" style="35" bestFit="1" customWidth="1"/>
    <col min="8" max="16384" width="8.625" style="35" customWidth="1"/>
  </cols>
  <sheetData>
    <row r="1" spans="1:4" ht="15">
      <c r="A1" s="271" t="s">
        <v>912</v>
      </c>
      <c r="B1" s="271"/>
      <c r="C1" s="271"/>
      <c r="D1" s="271"/>
    </row>
    <row r="2" spans="1:4" ht="15">
      <c r="A2" s="271" t="s">
        <v>410</v>
      </c>
      <c r="B2" s="271"/>
      <c r="C2" s="271"/>
      <c r="D2" s="271"/>
    </row>
    <row r="3" spans="1:4" ht="15">
      <c r="A3" s="271" t="s">
        <v>452</v>
      </c>
      <c r="B3" s="271"/>
      <c r="C3" s="271"/>
      <c r="D3" s="271"/>
    </row>
    <row r="4" spans="1:4" ht="15">
      <c r="A4" s="242" t="s">
        <v>964</v>
      </c>
      <c r="B4" s="242"/>
      <c r="C4" s="242"/>
      <c r="D4" s="242"/>
    </row>
    <row r="5" spans="1:2" ht="5.25" customHeight="1">
      <c r="A5" s="18"/>
      <c r="B5" s="174"/>
    </row>
    <row r="6" spans="1:4" ht="60.75" customHeight="1">
      <c r="A6" s="297" t="s">
        <v>807</v>
      </c>
      <c r="B6" s="297"/>
      <c r="C6" s="297"/>
      <c r="D6" s="297"/>
    </row>
    <row r="7" spans="1:4" ht="3.75" customHeight="1">
      <c r="A7" s="36"/>
      <c r="B7" s="36"/>
      <c r="C7" s="36"/>
      <c r="D7" s="108"/>
    </row>
    <row r="8" spans="1:4" ht="12.75">
      <c r="A8" s="18"/>
      <c r="B8" s="176"/>
      <c r="C8" s="177"/>
      <c r="D8" s="298" t="s">
        <v>137</v>
      </c>
    </row>
    <row r="9" spans="1:4" ht="39.75" customHeight="1">
      <c r="A9" s="3" t="s">
        <v>350</v>
      </c>
      <c r="B9" s="3" t="s">
        <v>294</v>
      </c>
      <c r="C9" s="3" t="s">
        <v>352</v>
      </c>
      <c r="D9" s="142" t="s">
        <v>524</v>
      </c>
    </row>
    <row r="10" spans="1:4" s="301" customFormat="1" ht="10.5" customHeight="1">
      <c r="A10" s="299">
        <v>1</v>
      </c>
      <c r="B10" s="299">
        <v>2</v>
      </c>
      <c r="C10" s="299">
        <v>3</v>
      </c>
      <c r="D10" s="300">
        <v>4</v>
      </c>
    </row>
    <row r="11" spans="1:4" s="303" customFormat="1" ht="18.75" customHeight="1">
      <c r="A11" s="302" t="s">
        <v>124</v>
      </c>
      <c r="B11" s="302"/>
      <c r="C11" s="302"/>
      <c r="D11" s="302"/>
    </row>
    <row r="12" spans="1:6" s="27" customFormat="1" ht="35.25" customHeight="1">
      <c r="A12" s="64" t="s">
        <v>487</v>
      </c>
      <c r="B12" s="5" t="s">
        <v>414</v>
      </c>
      <c r="C12" s="5" t="s">
        <v>31</v>
      </c>
      <c r="D12" s="117">
        <f>D13+D30+D36+D39+D51+D56+D59+D62+D53+D64</f>
        <v>455834.62647</v>
      </c>
      <c r="E12" s="84"/>
      <c r="F12" s="84"/>
    </row>
    <row r="13" spans="1:7" s="19" customFormat="1" ht="30" customHeight="1">
      <c r="A13" s="55" t="s">
        <v>297</v>
      </c>
      <c r="B13" s="74" t="s">
        <v>417</v>
      </c>
      <c r="C13" s="74" t="s">
        <v>49</v>
      </c>
      <c r="D13" s="94">
        <f>D14+D15+D19+D22+D23+D24+D25+D26+D27+D28+D29+D18</f>
        <v>293278.80504</v>
      </c>
      <c r="E13" s="304"/>
      <c r="F13" s="304"/>
      <c r="G13" s="304"/>
    </row>
    <row r="14" spans="1:4" s="39" customFormat="1" ht="16.5" customHeight="1">
      <c r="A14" s="17" t="s">
        <v>256</v>
      </c>
      <c r="B14" s="22" t="s">
        <v>417</v>
      </c>
      <c r="C14" s="22" t="s">
        <v>51</v>
      </c>
      <c r="D14" s="85">
        <f>700+100+393.313+48.5+210+10268.72-487.046</f>
        <v>11233.487</v>
      </c>
    </row>
    <row r="15" spans="1:4" s="39" customFormat="1" ht="40.5" customHeight="1" hidden="1">
      <c r="A15" s="55" t="s">
        <v>585</v>
      </c>
      <c r="B15" s="74" t="s">
        <v>417</v>
      </c>
      <c r="C15" s="74" t="s">
        <v>586</v>
      </c>
      <c r="D15" s="94">
        <f>D16+D17</f>
        <v>107</v>
      </c>
    </row>
    <row r="16" spans="1:4" s="39" customFormat="1" ht="62.25" customHeight="1" hidden="1">
      <c r="A16" s="17" t="s">
        <v>631</v>
      </c>
      <c r="B16" s="22" t="s">
        <v>417</v>
      </c>
      <c r="C16" s="22" t="s">
        <v>587</v>
      </c>
      <c r="D16" s="85">
        <v>0</v>
      </c>
    </row>
    <row r="17" spans="1:4" s="39" customFormat="1" ht="41.25" customHeight="1">
      <c r="A17" s="17" t="s">
        <v>706</v>
      </c>
      <c r="B17" s="22" t="s">
        <v>417</v>
      </c>
      <c r="C17" s="22" t="s">
        <v>697</v>
      </c>
      <c r="D17" s="85">
        <f>76+100-69</f>
        <v>107</v>
      </c>
    </row>
    <row r="18" spans="1:5" s="39" customFormat="1" ht="29.25" customHeight="1">
      <c r="A18" s="17" t="s">
        <v>882</v>
      </c>
      <c r="B18" s="22" t="s">
        <v>417</v>
      </c>
      <c r="C18" s="22" t="s">
        <v>881</v>
      </c>
      <c r="D18" s="85">
        <v>372</v>
      </c>
      <c r="E18" s="27"/>
    </row>
    <row r="19" spans="1:7" s="39" customFormat="1" ht="45" customHeight="1" hidden="1">
      <c r="A19" s="75" t="s">
        <v>676</v>
      </c>
      <c r="B19" s="87" t="s">
        <v>178</v>
      </c>
      <c r="C19" s="87"/>
      <c r="D19" s="88">
        <f>D20+D21</f>
        <v>0</v>
      </c>
      <c r="G19" s="145"/>
    </row>
    <row r="20" spans="1:4" s="39" customFormat="1" ht="46.5" customHeight="1" hidden="1">
      <c r="A20" s="17" t="s">
        <v>677</v>
      </c>
      <c r="B20" s="22" t="s">
        <v>178</v>
      </c>
      <c r="C20" s="22" t="s">
        <v>696</v>
      </c>
      <c r="D20" s="85"/>
    </row>
    <row r="21" spans="1:7" s="39" customFormat="1" ht="55.5" customHeight="1" hidden="1">
      <c r="A21" s="17" t="s">
        <v>678</v>
      </c>
      <c r="B21" s="22" t="s">
        <v>178</v>
      </c>
      <c r="C21" s="22" t="s">
        <v>750</v>
      </c>
      <c r="D21" s="85">
        <f>325-255-70</f>
        <v>0</v>
      </c>
      <c r="G21" s="145"/>
    </row>
    <row r="22" spans="1:4" s="39" customFormat="1" ht="71.25" customHeight="1" hidden="1">
      <c r="A22" s="17" t="s">
        <v>678</v>
      </c>
      <c r="B22" s="22" t="s">
        <v>178</v>
      </c>
      <c r="C22" s="22" t="s">
        <v>697</v>
      </c>
      <c r="D22" s="85"/>
    </row>
    <row r="23" spans="1:4" s="39" customFormat="1" ht="39.75" customHeight="1">
      <c r="A23" s="17" t="s">
        <v>816</v>
      </c>
      <c r="B23" s="22" t="s">
        <v>417</v>
      </c>
      <c r="C23" s="22" t="s">
        <v>817</v>
      </c>
      <c r="D23" s="85">
        <f>50+68.47928-46</f>
        <v>72.47928</v>
      </c>
    </row>
    <row r="24" spans="1:4" s="27" customFormat="1" ht="41.25" customHeight="1">
      <c r="A24" s="17" t="s">
        <v>949</v>
      </c>
      <c r="B24" s="22" t="s">
        <v>417</v>
      </c>
      <c r="C24" s="22" t="s">
        <v>52</v>
      </c>
      <c r="D24" s="85">
        <f>53588.5-300+0.03321+7299.18953-2500+30.30302-287.5+4678.14+625.912+11091.4+408</f>
        <v>74633.97776</v>
      </c>
    </row>
    <row r="25" spans="1:5" s="27" customFormat="1" ht="42" customHeight="1">
      <c r="A25" s="17" t="s">
        <v>110</v>
      </c>
      <c r="B25" s="22" t="s">
        <v>417</v>
      </c>
      <c r="C25" s="22" t="s">
        <v>63</v>
      </c>
      <c r="D25" s="85">
        <f>161257.823-3185.1+11865.638</f>
        <v>169938.361</v>
      </c>
      <c r="E25" s="84"/>
    </row>
    <row r="26" spans="1:4" s="27" customFormat="1" ht="30" customHeight="1">
      <c r="A26" s="17" t="s">
        <v>633</v>
      </c>
      <c r="B26" s="22" t="s">
        <v>417</v>
      </c>
      <c r="C26" s="22" t="s">
        <v>590</v>
      </c>
      <c r="D26" s="85">
        <v>7270.9</v>
      </c>
    </row>
    <row r="27" spans="1:4" s="27" customFormat="1" ht="48" customHeight="1">
      <c r="A27" s="17" t="s">
        <v>603</v>
      </c>
      <c r="B27" s="22" t="s">
        <v>417</v>
      </c>
      <c r="C27" s="22" t="s">
        <v>935</v>
      </c>
      <c r="D27" s="85">
        <v>2160</v>
      </c>
    </row>
    <row r="28" spans="1:4" s="27" customFormat="1" ht="44.25" customHeight="1">
      <c r="A28" s="17" t="s">
        <v>800</v>
      </c>
      <c r="B28" s="22" t="s">
        <v>417</v>
      </c>
      <c r="C28" s="22" t="s">
        <v>801</v>
      </c>
      <c r="D28" s="85">
        <f>18147.5-7270.9</f>
        <v>10876.6</v>
      </c>
    </row>
    <row r="29" spans="1:4" s="27" customFormat="1" ht="42.75" customHeight="1">
      <c r="A29" s="17" t="s">
        <v>794</v>
      </c>
      <c r="B29" s="22" t="s">
        <v>417</v>
      </c>
      <c r="C29" s="22" t="s">
        <v>802</v>
      </c>
      <c r="D29" s="85">
        <f>12051+4563</f>
        <v>16614</v>
      </c>
    </row>
    <row r="30" spans="1:6" s="19" customFormat="1" ht="33" customHeight="1">
      <c r="A30" s="55" t="s">
        <v>298</v>
      </c>
      <c r="B30" s="74" t="s">
        <v>417</v>
      </c>
      <c r="C30" s="74" t="s">
        <v>44</v>
      </c>
      <c r="D30" s="94">
        <f>SUM(D31:D35)</f>
        <v>82400.85200000001</v>
      </c>
      <c r="F30" s="304"/>
    </row>
    <row r="31" spans="1:4" s="27" customFormat="1" ht="24.75" customHeight="1">
      <c r="A31" s="17" t="s">
        <v>299</v>
      </c>
      <c r="B31" s="22" t="s">
        <v>417</v>
      </c>
      <c r="C31" s="22" t="s">
        <v>45</v>
      </c>
      <c r="D31" s="85">
        <f>200+200+2794.8-209.919</f>
        <v>2984.8810000000003</v>
      </c>
    </row>
    <row r="32" spans="1:4" s="27" customFormat="1" ht="33" customHeight="1">
      <c r="A32" s="17" t="s">
        <v>893</v>
      </c>
      <c r="B32" s="22" t="s">
        <v>417</v>
      </c>
      <c r="C32" s="22" t="s">
        <v>883</v>
      </c>
      <c r="D32" s="85">
        <v>80</v>
      </c>
    </row>
    <row r="33" spans="1:5" s="27" customFormat="1" ht="59.25" customHeight="1">
      <c r="A33" s="17" t="s">
        <v>950</v>
      </c>
      <c r="B33" s="22" t="s">
        <v>417</v>
      </c>
      <c r="C33" s="22" t="s">
        <v>47</v>
      </c>
      <c r="D33" s="85">
        <f>22046.4-200+4500.9-1950.4+2310.4+7124.3</f>
        <v>33831.600000000006</v>
      </c>
      <c r="E33" s="40"/>
    </row>
    <row r="34" spans="1:5" s="27" customFormat="1" ht="45" customHeight="1">
      <c r="A34" s="17" t="s">
        <v>111</v>
      </c>
      <c r="B34" s="22" t="s">
        <v>417</v>
      </c>
      <c r="C34" s="22" t="s">
        <v>48</v>
      </c>
      <c r="D34" s="85">
        <f>38428.372+1040.74</f>
        <v>39469.112</v>
      </c>
      <c r="E34" s="40"/>
    </row>
    <row r="35" spans="1:5" s="27" customFormat="1" ht="58.5" customHeight="1">
      <c r="A35" s="17" t="s">
        <v>112</v>
      </c>
      <c r="B35" s="22" t="s">
        <v>417</v>
      </c>
      <c r="C35" s="22" t="s">
        <v>90</v>
      </c>
      <c r="D35" s="85">
        <v>6035.259</v>
      </c>
      <c r="E35" s="40"/>
    </row>
    <row r="36" spans="1:4" s="19" customFormat="1" ht="16.5" customHeight="1">
      <c r="A36" s="55" t="s">
        <v>300</v>
      </c>
      <c r="B36" s="74" t="s">
        <v>417</v>
      </c>
      <c r="C36" s="74" t="s">
        <v>53</v>
      </c>
      <c r="D36" s="94">
        <f>D37+D38</f>
        <v>1569</v>
      </c>
    </row>
    <row r="37" spans="1:4" s="27" customFormat="1" ht="16.5" customHeight="1">
      <c r="A37" s="17" t="s">
        <v>262</v>
      </c>
      <c r="B37" s="22" t="s">
        <v>417</v>
      </c>
      <c r="C37" s="22" t="s">
        <v>55</v>
      </c>
      <c r="D37" s="85">
        <v>250</v>
      </c>
    </row>
    <row r="38" spans="1:4" s="27" customFormat="1" ht="18.75" customHeight="1">
      <c r="A38" s="17" t="s">
        <v>257</v>
      </c>
      <c r="B38" s="22" t="s">
        <v>417</v>
      </c>
      <c r="C38" s="22" t="s">
        <v>56</v>
      </c>
      <c r="D38" s="85">
        <f>750+500+69</f>
        <v>1319</v>
      </c>
    </row>
    <row r="39" spans="1:6" s="19" customFormat="1" ht="17.25" customHeight="1">
      <c r="A39" s="55" t="s">
        <v>301</v>
      </c>
      <c r="B39" s="74" t="s">
        <v>417</v>
      </c>
      <c r="C39" s="74" t="s">
        <v>57</v>
      </c>
      <c r="D39" s="94">
        <f>SUM(D40:D50)</f>
        <v>33003.645</v>
      </c>
      <c r="F39" s="304"/>
    </row>
    <row r="40" spans="1:4" s="27" customFormat="1" ht="19.5" customHeight="1">
      <c r="A40" s="17" t="s">
        <v>905</v>
      </c>
      <c r="B40" s="22" t="s">
        <v>178</v>
      </c>
      <c r="C40" s="22" t="s">
        <v>906</v>
      </c>
      <c r="D40" s="85">
        <f>800+945</f>
        <v>1745</v>
      </c>
    </row>
    <row r="41" spans="1:4" s="27" customFormat="1" ht="21" customHeight="1">
      <c r="A41" s="17" t="s">
        <v>905</v>
      </c>
      <c r="B41" s="22" t="s">
        <v>417</v>
      </c>
      <c r="C41" s="22" t="s">
        <v>906</v>
      </c>
      <c r="D41" s="85">
        <f>225+96.966+599.999</f>
        <v>921.965</v>
      </c>
    </row>
    <row r="42" spans="1:4" s="27" customFormat="1" ht="20.25" customHeight="1">
      <c r="A42" s="17" t="s">
        <v>128</v>
      </c>
      <c r="B42" s="22" t="s">
        <v>417</v>
      </c>
      <c r="C42" s="37" t="s">
        <v>59</v>
      </c>
      <c r="D42" s="85">
        <f>3819.1+1302.2+180+1017.8+46+27.7</f>
        <v>6392.8</v>
      </c>
    </row>
    <row r="43" spans="1:4" s="27" customFormat="1" ht="28.5" customHeight="1">
      <c r="A43" s="17" t="s">
        <v>885</v>
      </c>
      <c r="B43" s="22" t="s">
        <v>417</v>
      </c>
      <c r="C43" s="37" t="s">
        <v>884</v>
      </c>
      <c r="D43" s="85">
        <v>48</v>
      </c>
    </row>
    <row r="44" spans="1:7" s="27" customFormat="1" ht="28.5" customHeight="1">
      <c r="A44" s="17" t="s">
        <v>916</v>
      </c>
      <c r="B44" s="22" t="s">
        <v>417</v>
      </c>
      <c r="C44" s="37" t="s">
        <v>60</v>
      </c>
      <c r="D44" s="85">
        <f>8578.88+2555.1+390+7+850.5+20</f>
        <v>12401.48</v>
      </c>
      <c r="F44" s="84"/>
      <c r="G44" s="84"/>
    </row>
    <row r="45" spans="1:5" s="27" customFormat="1" ht="21" customHeight="1">
      <c r="A45" s="17" t="s">
        <v>250</v>
      </c>
      <c r="B45" s="22" t="s">
        <v>178</v>
      </c>
      <c r="C45" s="22" t="s">
        <v>61</v>
      </c>
      <c r="D45" s="85">
        <f>4998.16+1893.3+180+530</f>
        <v>7601.46</v>
      </c>
      <c r="E45" s="40"/>
    </row>
    <row r="46" spans="1:5" s="27" customFormat="1" ht="21" customHeight="1">
      <c r="A46" s="17" t="s">
        <v>251</v>
      </c>
      <c r="B46" s="22" t="s">
        <v>178</v>
      </c>
      <c r="C46" s="22" t="s">
        <v>62</v>
      </c>
      <c r="D46" s="85">
        <f>2235.64+910.3+100+350</f>
        <v>3595.9399999999996</v>
      </c>
      <c r="E46" s="40"/>
    </row>
    <row r="47" spans="1:5" s="27" customFormat="1" ht="31.5" customHeight="1" hidden="1">
      <c r="A47" s="75" t="s">
        <v>679</v>
      </c>
      <c r="B47" s="87" t="s">
        <v>417</v>
      </c>
      <c r="C47" s="22" t="s">
        <v>906</v>
      </c>
      <c r="D47" s="88">
        <f>D48+D49</f>
        <v>0</v>
      </c>
      <c r="E47" s="40"/>
    </row>
    <row r="48" spans="1:5" s="27" customFormat="1" ht="42" customHeight="1" hidden="1">
      <c r="A48" s="17" t="s">
        <v>680</v>
      </c>
      <c r="B48" s="22" t="s">
        <v>417</v>
      </c>
      <c r="C48" s="22" t="s">
        <v>917</v>
      </c>
      <c r="D48" s="85"/>
      <c r="E48" s="84"/>
    </row>
    <row r="49" spans="1:5" s="27" customFormat="1" ht="59.25" customHeight="1" hidden="1">
      <c r="A49" s="17" t="s">
        <v>681</v>
      </c>
      <c r="B49" s="22" t="s">
        <v>417</v>
      </c>
      <c r="C49" s="22" t="s">
        <v>918</v>
      </c>
      <c r="D49" s="85"/>
      <c r="E49" s="84"/>
    </row>
    <row r="50" spans="1:5" s="27" customFormat="1" ht="45" customHeight="1">
      <c r="A50" s="17" t="s">
        <v>931</v>
      </c>
      <c r="B50" s="22" t="s">
        <v>417</v>
      </c>
      <c r="C50" s="22" t="s">
        <v>917</v>
      </c>
      <c r="D50" s="85">
        <f>220+46+31</f>
        <v>297</v>
      </c>
      <c r="E50" s="84"/>
    </row>
    <row r="51" spans="1:5" s="19" customFormat="1" ht="17.25" customHeight="1">
      <c r="A51" s="55" t="s">
        <v>302</v>
      </c>
      <c r="B51" s="74" t="s">
        <v>417</v>
      </c>
      <c r="C51" s="74" t="s">
        <v>64</v>
      </c>
      <c r="D51" s="94">
        <f>D52</f>
        <v>50</v>
      </c>
      <c r="E51" s="106"/>
    </row>
    <row r="52" spans="1:4" s="41" customFormat="1" ht="17.25" customHeight="1">
      <c r="A52" s="17" t="s">
        <v>815</v>
      </c>
      <c r="B52" s="22" t="s">
        <v>417</v>
      </c>
      <c r="C52" s="22" t="s">
        <v>65</v>
      </c>
      <c r="D52" s="85">
        <f>30+20</f>
        <v>50</v>
      </c>
    </row>
    <row r="53" spans="1:5" s="19" customFormat="1" ht="17.25" customHeight="1">
      <c r="A53" s="55" t="s">
        <v>466</v>
      </c>
      <c r="B53" s="74" t="s">
        <v>417</v>
      </c>
      <c r="C53" s="74" t="s">
        <v>66</v>
      </c>
      <c r="D53" s="94">
        <f>D54+D55</f>
        <v>1117.13743</v>
      </c>
      <c r="E53" s="106"/>
    </row>
    <row r="54" spans="1:4" s="41" customFormat="1" ht="45" customHeight="1">
      <c r="A54" s="17" t="s">
        <v>748</v>
      </c>
      <c r="B54" s="22" t="s">
        <v>417</v>
      </c>
      <c r="C54" s="22" t="s">
        <v>67</v>
      </c>
      <c r="D54" s="85">
        <f>896.82255+173.41688</f>
        <v>1070.23943</v>
      </c>
    </row>
    <row r="55" spans="1:4" s="41" customFormat="1" ht="32.25" customHeight="1">
      <c r="A55" s="17" t="s">
        <v>914</v>
      </c>
      <c r="B55" s="22" t="s">
        <v>417</v>
      </c>
      <c r="C55" s="22" t="s">
        <v>913</v>
      </c>
      <c r="D55" s="85">
        <v>46.898</v>
      </c>
    </row>
    <row r="56" spans="1:5" s="19" customFormat="1" ht="18.75" customHeight="1">
      <c r="A56" s="55" t="s">
        <v>303</v>
      </c>
      <c r="B56" s="74" t="s">
        <v>417</v>
      </c>
      <c r="C56" s="74" t="s">
        <v>68</v>
      </c>
      <c r="D56" s="94">
        <f>D57+D58</f>
        <v>44182.187000000005</v>
      </c>
      <c r="E56" s="106"/>
    </row>
    <row r="57" spans="1:4" s="27" customFormat="1" ht="31.5" customHeight="1">
      <c r="A57" s="17" t="s">
        <v>180</v>
      </c>
      <c r="B57" s="22" t="s">
        <v>417</v>
      </c>
      <c r="C57" s="22" t="s">
        <v>69</v>
      </c>
      <c r="D57" s="85">
        <f>40712.73+200+210</f>
        <v>41122.73</v>
      </c>
    </row>
    <row r="58" spans="1:4" s="27" customFormat="1" ht="42" customHeight="1">
      <c r="A58" s="17" t="s">
        <v>545</v>
      </c>
      <c r="B58" s="22" t="s">
        <v>417</v>
      </c>
      <c r="C58" s="22" t="s">
        <v>69</v>
      </c>
      <c r="D58" s="85">
        <f>1630.957+1338.5+90</f>
        <v>3059.4570000000003</v>
      </c>
    </row>
    <row r="59" spans="1:5" s="19" customFormat="1" ht="17.25" customHeight="1">
      <c r="A59" s="55" t="s">
        <v>33</v>
      </c>
      <c r="B59" s="74" t="s">
        <v>417</v>
      </c>
      <c r="C59" s="74" t="s">
        <v>32</v>
      </c>
      <c r="D59" s="94">
        <f>D60+D61</f>
        <v>150</v>
      </c>
      <c r="E59" s="106"/>
    </row>
    <row r="60" spans="1:5" s="23" customFormat="1" ht="15.75" customHeight="1">
      <c r="A60" s="17" t="s">
        <v>406</v>
      </c>
      <c r="B60" s="13">
        <v>951</v>
      </c>
      <c r="C60" s="22" t="s">
        <v>35</v>
      </c>
      <c r="D60" s="85">
        <v>111</v>
      </c>
      <c r="E60" s="39"/>
    </row>
    <row r="61" spans="1:4" s="41" customFormat="1" ht="15.75" customHeight="1">
      <c r="A61" s="17" t="s">
        <v>342</v>
      </c>
      <c r="B61" s="13">
        <v>951</v>
      </c>
      <c r="C61" s="22" t="s">
        <v>84</v>
      </c>
      <c r="D61" s="85">
        <v>39</v>
      </c>
    </row>
    <row r="62" spans="1:5" s="19" customFormat="1" ht="17.25" customHeight="1">
      <c r="A62" s="55" t="s">
        <v>484</v>
      </c>
      <c r="B62" s="74" t="s">
        <v>178</v>
      </c>
      <c r="C62" s="74" t="s">
        <v>37</v>
      </c>
      <c r="D62" s="94">
        <f>D63</f>
        <v>83</v>
      </c>
      <c r="E62" s="106"/>
    </row>
    <row r="63" spans="1:5" s="27" customFormat="1" ht="18" customHeight="1">
      <c r="A63" s="17" t="s">
        <v>333</v>
      </c>
      <c r="B63" s="22" t="s">
        <v>178</v>
      </c>
      <c r="C63" s="22" t="s">
        <v>699</v>
      </c>
      <c r="D63" s="85">
        <v>83</v>
      </c>
      <c r="E63" s="51"/>
    </row>
    <row r="64" spans="1:5" s="27" customFormat="1" ht="47.25" customHeight="1" hidden="1">
      <c r="A64" s="55" t="s">
        <v>505</v>
      </c>
      <c r="B64" s="74" t="s">
        <v>417</v>
      </c>
      <c r="C64" s="74" t="s">
        <v>49</v>
      </c>
      <c r="D64" s="94">
        <f>D65</f>
        <v>0</v>
      </c>
      <c r="E64" s="51"/>
    </row>
    <row r="65" spans="1:5" s="27" customFormat="1" ht="29.25" customHeight="1" hidden="1">
      <c r="A65" s="17" t="s">
        <v>506</v>
      </c>
      <c r="B65" s="22" t="s">
        <v>417</v>
      </c>
      <c r="C65" s="22" t="s">
        <v>50</v>
      </c>
      <c r="D65" s="85">
        <v>0</v>
      </c>
      <c r="E65" s="51"/>
    </row>
    <row r="66" spans="1:4" s="27" customFormat="1" ht="49.5" customHeight="1">
      <c r="A66" s="79" t="s">
        <v>488</v>
      </c>
      <c r="B66" s="86" t="s">
        <v>414</v>
      </c>
      <c r="C66" s="86" t="s">
        <v>71</v>
      </c>
      <c r="D66" s="93">
        <f>D67+D68+D69</f>
        <v>600</v>
      </c>
    </row>
    <row r="67" spans="1:4" s="27" customFormat="1" ht="14.25" customHeight="1">
      <c r="A67" s="17" t="s">
        <v>115</v>
      </c>
      <c r="B67" s="22" t="s">
        <v>417</v>
      </c>
      <c r="C67" s="22" t="s">
        <v>73</v>
      </c>
      <c r="D67" s="85">
        <v>380</v>
      </c>
    </row>
    <row r="68" spans="1:4" s="27" customFormat="1" ht="15" customHeight="1">
      <c r="A68" s="17" t="s">
        <v>177</v>
      </c>
      <c r="B68" s="22" t="s">
        <v>417</v>
      </c>
      <c r="C68" s="22" t="s">
        <v>74</v>
      </c>
      <c r="D68" s="85">
        <v>218</v>
      </c>
    </row>
    <row r="69" spans="1:4" s="27" customFormat="1" ht="15" customHeight="1">
      <c r="A69" s="17" t="s">
        <v>341</v>
      </c>
      <c r="B69" s="22" t="s">
        <v>178</v>
      </c>
      <c r="C69" s="22" t="s">
        <v>85</v>
      </c>
      <c r="D69" s="85">
        <v>2</v>
      </c>
    </row>
    <row r="70" spans="1:5" s="306" customFormat="1" ht="48" customHeight="1" hidden="1">
      <c r="A70" s="105" t="s">
        <v>438</v>
      </c>
      <c r="B70" s="86" t="s">
        <v>178</v>
      </c>
      <c r="C70" s="80" t="s">
        <v>30</v>
      </c>
      <c r="D70" s="93">
        <f>D71+D72</f>
        <v>0</v>
      </c>
      <c r="E70" s="305"/>
    </row>
    <row r="71" spans="1:5" s="307" customFormat="1" ht="48.75" customHeight="1" hidden="1">
      <c r="A71" s="99" t="s">
        <v>113</v>
      </c>
      <c r="B71" s="22" t="s">
        <v>178</v>
      </c>
      <c r="C71" s="37" t="s">
        <v>468</v>
      </c>
      <c r="D71" s="85"/>
      <c r="E71" s="39"/>
    </row>
    <row r="72" spans="1:5" s="42" customFormat="1" ht="48.75" customHeight="1" hidden="1">
      <c r="A72" s="17" t="s">
        <v>114</v>
      </c>
      <c r="B72" s="22" t="s">
        <v>178</v>
      </c>
      <c r="C72" s="37" t="s">
        <v>99</v>
      </c>
      <c r="D72" s="85"/>
      <c r="E72" s="27"/>
    </row>
    <row r="73" spans="1:5" s="31" customFormat="1" ht="33.75" customHeight="1">
      <c r="A73" s="79" t="s">
        <v>489</v>
      </c>
      <c r="B73" s="86" t="s">
        <v>414</v>
      </c>
      <c r="C73" s="86" t="s">
        <v>38</v>
      </c>
      <c r="D73" s="93">
        <f>SUM(D74:D79)</f>
        <v>2134</v>
      </c>
      <c r="E73" s="41"/>
    </row>
    <row r="74" spans="1:4" s="41" customFormat="1" ht="15" customHeight="1">
      <c r="A74" s="17" t="s">
        <v>116</v>
      </c>
      <c r="B74" s="22" t="s">
        <v>417</v>
      </c>
      <c r="C74" s="22" t="s">
        <v>75</v>
      </c>
      <c r="D74" s="85">
        <v>4</v>
      </c>
    </row>
    <row r="75" spans="1:4" s="41" customFormat="1" ht="15" customHeight="1">
      <c r="A75" s="17" t="s">
        <v>904</v>
      </c>
      <c r="B75" s="22" t="s">
        <v>417</v>
      </c>
      <c r="C75" s="22" t="s">
        <v>75</v>
      </c>
      <c r="D75" s="85">
        <f>2120-112.5-78.189</f>
        <v>1929.311</v>
      </c>
    </row>
    <row r="76" spans="1:4" s="41" customFormat="1" ht="15" customHeight="1">
      <c r="A76" s="17" t="s">
        <v>709</v>
      </c>
      <c r="B76" s="22" t="s">
        <v>178</v>
      </c>
      <c r="C76" s="22" t="s">
        <v>40</v>
      </c>
      <c r="D76" s="85">
        <v>10</v>
      </c>
    </row>
    <row r="77" spans="1:4" s="41" customFormat="1" ht="15" customHeight="1" hidden="1">
      <c r="A77" s="17" t="s">
        <v>341</v>
      </c>
      <c r="B77" s="22" t="s">
        <v>178</v>
      </c>
      <c r="C77" s="22" t="s">
        <v>701</v>
      </c>
      <c r="D77" s="85"/>
    </row>
    <row r="78" spans="1:4" s="41" customFormat="1" ht="33" customHeight="1">
      <c r="A78" s="17" t="s">
        <v>954</v>
      </c>
      <c r="B78" s="22" t="s">
        <v>417</v>
      </c>
      <c r="C78" s="22" t="s">
        <v>952</v>
      </c>
      <c r="D78" s="85">
        <f>25+87.5+78.189</f>
        <v>190.689</v>
      </c>
    </row>
    <row r="79" spans="1:4" s="41" customFormat="1" ht="15" customHeight="1" hidden="1">
      <c r="A79" s="17" t="s">
        <v>953</v>
      </c>
      <c r="B79" s="22" t="s">
        <v>417</v>
      </c>
      <c r="C79" s="22"/>
      <c r="D79" s="85"/>
    </row>
    <row r="80" spans="1:6" s="31" customFormat="1" ht="32.25" customHeight="1">
      <c r="A80" s="79" t="s">
        <v>483</v>
      </c>
      <c r="B80" s="86" t="s">
        <v>414</v>
      </c>
      <c r="C80" s="86" t="s">
        <v>91</v>
      </c>
      <c r="D80" s="93">
        <f>D81+D85+D86+D93+D96</f>
        <v>963</v>
      </c>
      <c r="E80" s="91"/>
      <c r="F80" s="308"/>
    </row>
    <row r="81" spans="1:5" s="41" customFormat="1" ht="15.75" customHeight="1">
      <c r="A81" s="17" t="s">
        <v>295</v>
      </c>
      <c r="B81" s="22" t="s">
        <v>178</v>
      </c>
      <c r="C81" s="22" t="s">
        <v>92</v>
      </c>
      <c r="D81" s="85">
        <f>150+156.8+130+145.22+26.98</f>
        <v>609</v>
      </c>
      <c r="E81" s="91"/>
    </row>
    <row r="82" spans="1:5" s="31" customFormat="1" ht="46.5" customHeight="1" hidden="1">
      <c r="A82" s="79" t="s">
        <v>131</v>
      </c>
      <c r="B82" s="22" t="s">
        <v>634</v>
      </c>
      <c r="C82" s="22" t="s">
        <v>767</v>
      </c>
      <c r="D82" s="93">
        <f>D83</f>
        <v>0</v>
      </c>
      <c r="E82" s="41"/>
    </row>
    <row r="83" spans="1:5" s="43" customFormat="1" ht="15" customHeight="1" hidden="1">
      <c r="A83" s="79" t="s">
        <v>327</v>
      </c>
      <c r="B83" s="22" t="s">
        <v>635</v>
      </c>
      <c r="C83" s="22" t="s">
        <v>768</v>
      </c>
      <c r="D83" s="93">
        <f>D84</f>
        <v>0</v>
      </c>
      <c r="E83" s="89"/>
    </row>
    <row r="84" spans="1:4" s="41" customFormat="1" ht="60.75" customHeight="1" hidden="1">
      <c r="A84" s="17" t="s">
        <v>296</v>
      </c>
      <c r="B84" s="22" t="s">
        <v>636</v>
      </c>
      <c r="C84" s="22" t="s">
        <v>769</v>
      </c>
      <c r="D84" s="85">
        <v>0</v>
      </c>
    </row>
    <row r="85" spans="1:4" s="41" customFormat="1" ht="30.75" customHeight="1">
      <c r="A85" s="17" t="s">
        <v>770</v>
      </c>
      <c r="B85" s="22" t="s">
        <v>178</v>
      </c>
      <c r="C85" s="22" t="s">
        <v>766</v>
      </c>
      <c r="D85" s="85">
        <f>375+212+40-373+100</f>
        <v>354</v>
      </c>
    </row>
    <row r="86" spans="1:4" s="41" customFormat="1" ht="27.75" customHeight="1" hidden="1">
      <c r="A86" s="75" t="s">
        <v>608</v>
      </c>
      <c r="B86" s="87" t="s">
        <v>178</v>
      </c>
      <c r="C86" s="73"/>
      <c r="D86" s="88">
        <f>SUM(D87:D92)</f>
        <v>0</v>
      </c>
    </row>
    <row r="87" spans="1:5" s="41" customFormat="1" ht="48" customHeight="1" hidden="1">
      <c r="A87" s="17" t="s">
        <v>637</v>
      </c>
      <c r="B87" s="22" t="s">
        <v>178</v>
      </c>
      <c r="C87" s="37" t="s">
        <v>609</v>
      </c>
      <c r="D87" s="85">
        <v>0</v>
      </c>
      <c r="E87" s="90"/>
    </row>
    <row r="88" spans="1:5" s="41" customFormat="1" ht="19.5" customHeight="1" hidden="1">
      <c r="A88" s="17" t="s">
        <v>730</v>
      </c>
      <c r="B88" s="22" t="s">
        <v>178</v>
      </c>
      <c r="C88" s="37" t="s">
        <v>609</v>
      </c>
      <c r="D88" s="85"/>
      <c r="E88" s="90"/>
    </row>
    <row r="89" spans="1:4" s="41" customFormat="1" ht="57.75" customHeight="1" hidden="1">
      <c r="A89" s="17" t="s">
        <v>730</v>
      </c>
      <c r="B89" s="22" t="s">
        <v>178</v>
      </c>
      <c r="C89" s="37" t="s">
        <v>611</v>
      </c>
      <c r="D89" s="85"/>
    </row>
    <row r="90" spans="1:4" s="41" customFormat="1" ht="18" customHeight="1" hidden="1">
      <c r="A90" s="17" t="s">
        <v>730</v>
      </c>
      <c r="B90" s="22" t="s">
        <v>417</v>
      </c>
      <c r="C90" s="37" t="s">
        <v>609</v>
      </c>
      <c r="D90" s="85"/>
    </row>
    <row r="91" spans="1:4" s="41" customFormat="1" ht="21" customHeight="1" hidden="1">
      <c r="A91" s="17" t="s">
        <v>731</v>
      </c>
      <c r="B91" s="22" t="s">
        <v>178</v>
      </c>
      <c r="C91" s="37" t="s">
        <v>611</v>
      </c>
      <c r="D91" s="85">
        <f>86+40-40-86</f>
        <v>0</v>
      </c>
    </row>
    <row r="92" spans="1:4" s="41" customFormat="1" ht="18" customHeight="1" hidden="1">
      <c r="A92" s="17" t="s">
        <v>731</v>
      </c>
      <c r="B92" s="22" t="s">
        <v>634</v>
      </c>
      <c r="C92" s="37" t="s">
        <v>611</v>
      </c>
      <c r="D92" s="85"/>
    </row>
    <row r="93" spans="1:4" s="41" customFormat="1" ht="28.5" customHeight="1" hidden="1">
      <c r="A93" s="75" t="s">
        <v>729</v>
      </c>
      <c r="B93" s="22" t="s">
        <v>635</v>
      </c>
      <c r="C93" s="37"/>
      <c r="D93" s="88">
        <f>D94+D95</f>
        <v>0</v>
      </c>
    </row>
    <row r="94" spans="1:4" s="41" customFormat="1" ht="17.25" customHeight="1" hidden="1">
      <c r="A94" s="17" t="s">
        <v>759</v>
      </c>
      <c r="B94" s="22" t="s">
        <v>636</v>
      </c>
      <c r="C94" s="37" t="s">
        <v>732</v>
      </c>
      <c r="D94" s="85"/>
    </row>
    <row r="95" spans="1:4" s="41" customFormat="1" ht="17.25" customHeight="1" hidden="1">
      <c r="A95" s="17" t="s">
        <v>760</v>
      </c>
      <c r="B95" s="22" t="s">
        <v>819</v>
      </c>
      <c r="C95" s="37" t="s">
        <v>733</v>
      </c>
      <c r="D95" s="85"/>
    </row>
    <row r="96" spans="1:4" s="41" customFormat="1" ht="30" customHeight="1" hidden="1">
      <c r="A96" s="75" t="s">
        <v>771</v>
      </c>
      <c r="B96" s="22" t="s">
        <v>820</v>
      </c>
      <c r="C96" s="73"/>
      <c r="D96" s="88">
        <f>D97+D98</f>
        <v>0</v>
      </c>
    </row>
    <row r="97" spans="1:4" s="41" customFormat="1" ht="43.5" customHeight="1" hidden="1">
      <c r="A97" s="17" t="s">
        <v>776</v>
      </c>
      <c r="B97" s="22" t="s">
        <v>821</v>
      </c>
      <c r="C97" s="37" t="s">
        <v>772</v>
      </c>
      <c r="D97" s="85"/>
    </row>
    <row r="98" spans="1:4" s="41" customFormat="1" ht="57.75" customHeight="1" hidden="1">
      <c r="A98" s="17" t="s">
        <v>774</v>
      </c>
      <c r="B98" s="22" t="s">
        <v>822</v>
      </c>
      <c r="C98" s="37" t="s">
        <v>775</v>
      </c>
      <c r="D98" s="85"/>
    </row>
    <row r="99" spans="1:5" s="309" customFormat="1" ht="35.25" customHeight="1">
      <c r="A99" s="79" t="s">
        <v>859</v>
      </c>
      <c r="B99" s="86" t="s">
        <v>414</v>
      </c>
      <c r="C99" s="86" t="s">
        <v>87</v>
      </c>
      <c r="D99" s="93">
        <f>D100</f>
        <v>200</v>
      </c>
      <c r="E99" s="41"/>
    </row>
    <row r="100" spans="1:5" s="43" customFormat="1" ht="28.5" customHeight="1">
      <c r="A100" s="17" t="s">
        <v>206</v>
      </c>
      <c r="B100" s="22" t="s">
        <v>178</v>
      </c>
      <c r="C100" s="22" t="s">
        <v>88</v>
      </c>
      <c r="D100" s="85">
        <v>200</v>
      </c>
      <c r="E100" s="89"/>
    </row>
    <row r="101" spans="1:6" s="43" customFormat="1" ht="32.25" customHeight="1">
      <c r="A101" s="79" t="s">
        <v>490</v>
      </c>
      <c r="B101" s="86" t="s">
        <v>414</v>
      </c>
      <c r="C101" s="80" t="s">
        <v>76</v>
      </c>
      <c r="D101" s="93">
        <f>D102+D113+D119+D124</f>
        <v>16708.76968</v>
      </c>
      <c r="E101" s="305"/>
      <c r="F101" s="310"/>
    </row>
    <row r="102" spans="1:5" s="41" customFormat="1" ht="37.5" customHeight="1">
      <c r="A102" s="75" t="s">
        <v>541</v>
      </c>
      <c r="B102" s="22" t="s">
        <v>178</v>
      </c>
      <c r="C102" s="73" t="s">
        <v>78</v>
      </c>
      <c r="D102" s="88">
        <f>D104+D105+D106+D109+D110</f>
        <v>11549.559490000001</v>
      </c>
      <c r="E102" s="47"/>
    </row>
    <row r="103" spans="1:4" s="41" customFormat="1" ht="15" customHeight="1" hidden="1">
      <c r="A103" s="17" t="s">
        <v>220</v>
      </c>
      <c r="B103" s="22" t="s">
        <v>823</v>
      </c>
      <c r="C103" s="37" t="s">
        <v>221</v>
      </c>
      <c r="D103" s="85"/>
    </row>
    <row r="104" spans="1:5" s="41" customFormat="1" ht="15" customHeight="1">
      <c r="A104" s="17" t="s">
        <v>546</v>
      </c>
      <c r="B104" s="22" t="s">
        <v>178</v>
      </c>
      <c r="C104" s="37" t="s">
        <v>79</v>
      </c>
      <c r="D104" s="85">
        <f>5802.65+100+72.86+25+150-0.0202+1755.1</f>
        <v>7905.5898</v>
      </c>
      <c r="E104" s="91"/>
    </row>
    <row r="105" spans="1:4" s="41" customFormat="1" ht="27" customHeight="1">
      <c r="A105" s="17" t="s">
        <v>117</v>
      </c>
      <c r="B105" s="22" t="s">
        <v>178</v>
      </c>
      <c r="C105" s="37" t="s">
        <v>97</v>
      </c>
      <c r="D105" s="85">
        <v>1620</v>
      </c>
    </row>
    <row r="106" spans="1:5" s="41" customFormat="1" ht="33.75" customHeight="1">
      <c r="A106" s="55" t="s">
        <v>593</v>
      </c>
      <c r="B106" s="74" t="s">
        <v>178</v>
      </c>
      <c r="C106" s="59" t="s">
        <v>638</v>
      </c>
      <c r="D106" s="94">
        <f>D107+D108</f>
        <v>1821.94949</v>
      </c>
      <c r="E106" s="91"/>
    </row>
    <row r="107" spans="1:5" s="41" customFormat="1" ht="42.75" customHeight="1">
      <c r="A107" s="17" t="s">
        <v>594</v>
      </c>
      <c r="B107" s="22" t="s">
        <v>178</v>
      </c>
      <c r="C107" s="37" t="s">
        <v>595</v>
      </c>
      <c r="D107" s="85">
        <v>1803.73</v>
      </c>
      <c r="E107" s="90"/>
    </row>
    <row r="108" spans="1:5" s="41" customFormat="1" ht="60" customHeight="1">
      <c r="A108" s="17" t="s">
        <v>639</v>
      </c>
      <c r="B108" s="22" t="s">
        <v>178</v>
      </c>
      <c r="C108" s="37" t="s">
        <v>596</v>
      </c>
      <c r="D108" s="85">
        <f>18.21949+2-2</f>
        <v>18.21949</v>
      </c>
      <c r="E108" s="91"/>
    </row>
    <row r="109" spans="1:5" s="41" customFormat="1" ht="57" customHeight="1" hidden="1">
      <c r="A109" s="17" t="s">
        <v>790</v>
      </c>
      <c r="B109" s="22" t="s">
        <v>178</v>
      </c>
      <c r="C109" s="37" t="s">
        <v>818</v>
      </c>
      <c r="D109" s="85">
        <f>25-25</f>
        <v>0</v>
      </c>
      <c r="E109" s="91"/>
    </row>
    <row r="110" spans="1:5" s="41" customFormat="1" ht="31.5" customHeight="1">
      <c r="A110" s="55" t="s">
        <v>936</v>
      </c>
      <c r="B110" s="74" t="s">
        <v>178</v>
      </c>
      <c r="C110" s="59" t="s">
        <v>77</v>
      </c>
      <c r="D110" s="94">
        <f>D111+D112</f>
        <v>202.0202</v>
      </c>
      <c r="E110" s="91"/>
    </row>
    <row r="111" spans="1:5" s="41" customFormat="1" ht="32.25" customHeight="1">
      <c r="A111" s="17" t="s">
        <v>937</v>
      </c>
      <c r="B111" s="22" t="s">
        <v>178</v>
      </c>
      <c r="C111" s="37" t="s">
        <v>939</v>
      </c>
      <c r="D111" s="85">
        <v>200</v>
      </c>
      <c r="E111" s="91"/>
    </row>
    <row r="112" spans="1:5" s="41" customFormat="1" ht="45.75" customHeight="1">
      <c r="A112" s="17" t="s">
        <v>938</v>
      </c>
      <c r="B112" s="22" t="s">
        <v>178</v>
      </c>
      <c r="C112" s="37" t="s">
        <v>940</v>
      </c>
      <c r="D112" s="85">
        <v>2.0202</v>
      </c>
      <c r="E112" s="91"/>
    </row>
    <row r="113" spans="1:4" s="41" customFormat="1" ht="44.25" customHeight="1">
      <c r="A113" s="75" t="s">
        <v>542</v>
      </c>
      <c r="B113" s="87" t="s">
        <v>178</v>
      </c>
      <c r="C113" s="73" t="s">
        <v>80</v>
      </c>
      <c r="D113" s="88">
        <f>D115+D116</f>
        <v>2716.97019</v>
      </c>
    </row>
    <row r="114" spans="1:4" s="41" customFormat="1" ht="15" customHeight="1" hidden="1">
      <c r="A114" s="17" t="s">
        <v>223</v>
      </c>
      <c r="B114" s="22" t="s">
        <v>825</v>
      </c>
      <c r="C114" s="37" t="s">
        <v>224</v>
      </c>
      <c r="D114" s="85"/>
    </row>
    <row r="115" spans="1:4" s="41" customFormat="1" ht="15" customHeight="1">
      <c r="A115" s="17" t="s">
        <v>214</v>
      </c>
      <c r="B115" s="22" t="s">
        <v>178</v>
      </c>
      <c r="C115" s="37" t="s">
        <v>80</v>
      </c>
      <c r="D115" s="85">
        <f>1566.14+610.1+67+245</f>
        <v>2488.2400000000002</v>
      </c>
    </row>
    <row r="116" spans="1:5" s="41" customFormat="1" ht="30" customHeight="1">
      <c r="A116" s="55" t="s">
        <v>597</v>
      </c>
      <c r="B116" s="74" t="s">
        <v>178</v>
      </c>
      <c r="C116" s="59" t="s">
        <v>598</v>
      </c>
      <c r="D116" s="94">
        <f>D117+D118</f>
        <v>228.73019</v>
      </c>
      <c r="E116" s="91"/>
    </row>
    <row r="117" spans="1:5" s="41" customFormat="1" ht="44.25" customHeight="1">
      <c r="A117" s="17" t="s">
        <v>640</v>
      </c>
      <c r="B117" s="22" t="s">
        <v>826</v>
      </c>
      <c r="C117" s="37" t="s">
        <v>599</v>
      </c>
      <c r="D117" s="85">
        <v>226.44289</v>
      </c>
      <c r="E117" s="90"/>
    </row>
    <row r="118" spans="1:5" s="41" customFormat="1" ht="54" customHeight="1">
      <c r="A118" s="17" t="s">
        <v>641</v>
      </c>
      <c r="B118" s="22" t="s">
        <v>178</v>
      </c>
      <c r="C118" s="37" t="s">
        <v>600</v>
      </c>
      <c r="D118" s="85">
        <v>2.2873</v>
      </c>
      <c r="E118" s="91"/>
    </row>
    <row r="119" spans="1:4" s="41" customFormat="1" ht="54.75" customHeight="1">
      <c r="A119" s="75" t="s">
        <v>543</v>
      </c>
      <c r="B119" s="87" t="s">
        <v>178</v>
      </c>
      <c r="C119" s="73" t="s">
        <v>81</v>
      </c>
      <c r="D119" s="88">
        <f>D120</f>
        <v>1424.3300000000002</v>
      </c>
    </row>
    <row r="120" spans="1:4" s="41" customFormat="1" ht="16.5" customHeight="1">
      <c r="A120" s="17" t="s">
        <v>214</v>
      </c>
      <c r="B120" s="22" t="s">
        <v>178</v>
      </c>
      <c r="C120" s="37" t="s">
        <v>81</v>
      </c>
      <c r="D120" s="85">
        <f>1181.43+25+217.9</f>
        <v>1424.3300000000002</v>
      </c>
    </row>
    <row r="121" spans="1:5" s="27" customFormat="1" ht="42" customHeight="1" hidden="1">
      <c r="A121" s="75" t="s">
        <v>612</v>
      </c>
      <c r="B121" s="22" t="s">
        <v>827</v>
      </c>
      <c r="C121" s="87"/>
      <c r="D121" s="88">
        <f>D122+D123</f>
        <v>0</v>
      </c>
      <c r="E121" s="40"/>
    </row>
    <row r="122" spans="1:5" s="27" customFormat="1" ht="44.25" customHeight="1" hidden="1">
      <c r="A122" s="17" t="s">
        <v>665</v>
      </c>
      <c r="B122" s="22" t="s">
        <v>828</v>
      </c>
      <c r="C122" s="22" t="s">
        <v>739</v>
      </c>
      <c r="D122" s="85"/>
      <c r="E122" s="40"/>
    </row>
    <row r="123" spans="1:5" s="27" customFormat="1" ht="54" customHeight="1" hidden="1">
      <c r="A123" s="17" t="s">
        <v>666</v>
      </c>
      <c r="B123" s="22" t="s">
        <v>829</v>
      </c>
      <c r="C123" s="22" t="s">
        <v>740</v>
      </c>
      <c r="D123" s="85"/>
      <c r="E123" s="40"/>
    </row>
    <row r="124" spans="1:5" s="41" customFormat="1" ht="19.5" customHeight="1">
      <c r="A124" s="75" t="s">
        <v>548</v>
      </c>
      <c r="B124" s="87" t="s">
        <v>178</v>
      </c>
      <c r="C124" s="73" t="s">
        <v>76</v>
      </c>
      <c r="D124" s="88">
        <f>D125+D138</f>
        <v>1017.91</v>
      </c>
      <c r="E124" s="91"/>
    </row>
    <row r="125" spans="1:4" s="41" customFormat="1" ht="30.75" customHeight="1">
      <c r="A125" s="17" t="s">
        <v>547</v>
      </c>
      <c r="B125" s="22" t="s">
        <v>178</v>
      </c>
      <c r="C125" s="37" t="s">
        <v>82</v>
      </c>
      <c r="D125" s="85">
        <f>897.91+20+100</f>
        <v>1017.91</v>
      </c>
    </row>
    <row r="126" spans="1:5" s="43" customFormat="1" ht="29.25" customHeight="1" hidden="1">
      <c r="A126" s="79" t="s">
        <v>431</v>
      </c>
      <c r="B126" s="22" t="s">
        <v>830</v>
      </c>
      <c r="C126" s="80" t="s">
        <v>217</v>
      </c>
      <c r="D126" s="93"/>
      <c r="E126" s="89"/>
    </row>
    <row r="127" spans="1:4" s="41" customFormat="1" ht="18" customHeight="1" hidden="1">
      <c r="A127" s="17" t="s">
        <v>219</v>
      </c>
      <c r="B127" s="22" t="s">
        <v>831</v>
      </c>
      <c r="C127" s="37" t="s">
        <v>218</v>
      </c>
      <c r="D127" s="85"/>
    </row>
    <row r="128" spans="1:4" s="41" customFormat="1" ht="16.5" customHeight="1" hidden="1">
      <c r="A128" s="17" t="s">
        <v>220</v>
      </c>
      <c r="B128" s="22" t="s">
        <v>832</v>
      </c>
      <c r="C128" s="37" t="s">
        <v>221</v>
      </c>
      <c r="D128" s="85"/>
    </row>
    <row r="129" spans="1:4" s="41" customFormat="1" ht="18.75" customHeight="1" hidden="1">
      <c r="A129" s="17" t="s">
        <v>214</v>
      </c>
      <c r="B129" s="22" t="s">
        <v>833</v>
      </c>
      <c r="C129" s="37" t="s">
        <v>222</v>
      </c>
      <c r="D129" s="85"/>
    </row>
    <row r="130" spans="1:4" s="41" customFormat="1" ht="15" customHeight="1" hidden="1">
      <c r="A130" s="17" t="s">
        <v>225</v>
      </c>
      <c r="B130" s="22" t="s">
        <v>834</v>
      </c>
      <c r="C130" s="37" t="s">
        <v>226</v>
      </c>
      <c r="D130" s="85"/>
    </row>
    <row r="131" spans="1:4" s="41" customFormat="1" ht="13.5" customHeight="1" hidden="1">
      <c r="A131" s="17" t="s">
        <v>227</v>
      </c>
      <c r="B131" s="22" t="s">
        <v>835</v>
      </c>
      <c r="C131" s="37" t="s">
        <v>228</v>
      </c>
      <c r="D131" s="85"/>
    </row>
    <row r="132" spans="1:4" s="41" customFormat="1" ht="16.5" customHeight="1" hidden="1">
      <c r="A132" s="17" t="s">
        <v>214</v>
      </c>
      <c r="B132" s="22" t="s">
        <v>836</v>
      </c>
      <c r="C132" s="37" t="s">
        <v>229</v>
      </c>
      <c r="D132" s="85"/>
    </row>
    <row r="133" spans="1:4" s="41" customFormat="1" ht="0.75" customHeight="1" hidden="1">
      <c r="A133" s="46" t="s">
        <v>9</v>
      </c>
      <c r="B133" s="22" t="s">
        <v>837</v>
      </c>
      <c r="C133" s="37" t="s">
        <v>8</v>
      </c>
      <c r="D133" s="85"/>
    </row>
    <row r="134" spans="1:4" s="41" customFormat="1" ht="25.5" customHeight="1" hidden="1">
      <c r="A134" s="79" t="s">
        <v>327</v>
      </c>
      <c r="B134" s="22" t="s">
        <v>838</v>
      </c>
      <c r="C134" s="37" t="s">
        <v>8</v>
      </c>
      <c r="D134" s="85"/>
    </row>
    <row r="135" spans="1:4" s="41" customFormat="1" ht="54.75" customHeight="1" hidden="1">
      <c r="A135" s="79" t="s">
        <v>138</v>
      </c>
      <c r="B135" s="22" t="s">
        <v>839</v>
      </c>
      <c r="C135" s="37" t="s">
        <v>325</v>
      </c>
      <c r="D135" s="85"/>
    </row>
    <row r="136" spans="1:4" s="41" customFormat="1" ht="16.5" customHeight="1" hidden="1">
      <c r="A136" s="79" t="s">
        <v>327</v>
      </c>
      <c r="B136" s="22" t="s">
        <v>840</v>
      </c>
      <c r="C136" s="37" t="s">
        <v>325</v>
      </c>
      <c r="D136" s="85"/>
    </row>
    <row r="137" spans="1:4" s="41" customFormat="1" ht="16.5" customHeight="1" hidden="1">
      <c r="A137" s="79" t="s">
        <v>344</v>
      </c>
      <c r="B137" s="22" t="s">
        <v>841</v>
      </c>
      <c r="C137" s="37" t="s">
        <v>8</v>
      </c>
      <c r="D137" s="85"/>
    </row>
    <row r="138" spans="1:4" s="41" customFormat="1" ht="45.75" customHeight="1" hidden="1">
      <c r="A138" s="17" t="s">
        <v>545</v>
      </c>
      <c r="B138" s="22" t="s">
        <v>842</v>
      </c>
      <c r="C138" s="37" t="s">
        <v>507</v>
      </c>
      <c r="D138" s="85">
        <v>0</v>
      </c>
    </row>
    <row r="139" spans="1:4" s="41" customFormat="1" ht="33" customHeight="1" hidden="1">
      <c r="A139" s="79" t="s">
        <v>439</v>
      </c>
      <c r="B139" s="22" t="s">
        <v>843</v>
      </c>
      <c r="C139" s="80" t="s">
        <v>41</v>
      </c>
      <c r="D139" s="93">
        <f>D140+D141+D142</f>
        <v>0</v>
      </c>
    </row>
    <row r="140" spans="1:4" s="41" customFormat="1" ht="17.25" customHeight="1" hidden="1">
      <c r="A140" s="17" t="s">
        <v>118</v>
      </c>
      <c r="B140" s="22" t="s">
        <v>844</v>
      </c>
      <c r="C140" s="37" t="s">
        <v>535</v>
      </c>
      <c r="D140" s="85">
        <v>0</v>
      </c>
    </row>
    <row r="141" spans="1:4" s="41" customFormat="1" ht="19.5" customHeight="1" hidden="1">
      <c r="A141" s="17" t="s">
        <v>537</v>
      </c>
      <c r="B141" s="22" t="s">
        <v>845</v>
      </c>
      <c r="C141" s="37" t="s">
        <v>536</v>
      </c>
      <c r="D141" s="85"/>
    </row>
    <row r="142" spans="1:4" s="41" customFormat="1" ht="33" customHeight="1" hidden="1">
      <c r="A142" s="17" t="s">
        <v>513</v>
      </c>
      <c r="B142" s="22" t="s">
        <v>846</v>
      </c>
      <c r="C142" s="37" t="s">
        <v>504</v>
      </c>
      <c r="D142" s="85"/>
    </row>
    <row r="143" spans="1:4" s="41" customFormat="1" ht="45" customHeight="1" hidden="1">
      <c r="A143" s="79" t="s">
        <v>485</v>
      </c>
      <c r="B143" s="22" t="s">
        <v>847</v>
      </c>
      <c r="C143" s="86" t="s">
        <v>473</v>
      </c>
      <c r="D143" s="93">
        <f>D144</f>
        <v>0</v>
      </c>
    </row>
    <row r="144" spans="1:4" s="41" customFormat="1" ht="30" customHeight="1" hidden="1">
      <c r="A144" s="17" t="s">
        <v>721</v>
      </c>
      <c r="B144" s="22" t="s">
        <v>848</v>
      </c>
      <c r="C144" s="37" t="s">
        <v>474</v>
      </c>
      <c r="D144" s="85">
        <v>0</v>
      </c>
    </row>
    <row r="145" spans="1:5" s="41" customFormat="1" ht="62.25" customHeight="1">
      <c r="A145" s="79" t="s">
        <v>499</v>
      </c>
      <c r="B145" s="86" t="s">
        <v>414</v>
      </c>
      <c r="C145" s="86" t="s">
        <v>475</v>
      </c>
      <c r="D145" s="93">
        <f>SUM(D146:D154)</f>
        <v>29246.48429</v>
      </c>
      <c r="E145" s="50"/>
    </row>
    <row r="146" spans="1:5" s="41" customFormat="1" ht="30.75" customHeight="1">
      <c r="A146" s="17" t="s">
        <v>43</v>
      </c>
      <c r="B146" s="22" t="s">
        <v>178</v>
      </c>
      <c r="C146" s="37" t="s">
        <v>496</v>
      </c>
      <c r="D146" s="85">
        <f>2300-3.825</f>
        <v>2296.175</v>
      </c>
      <c r="E146" s="50"/>
    </row>
    <row r="147" spans="1:5" s="41" customFormat="1" ht="15.75" customHeight="1" hidden="1">
      <c r="A147" s="17" t="s">
        <v>43</v>
      </c>
      <c r="B147" s="22" t="s">
        <v>849</v>
      </c>
      <c r="C147" s="37" t="s">
        <v>498</v>
      </c>
      <c r="D147" s="85">
        <v>0</v>
      </c>
      <c r="E147" s="50"/>
    </row>
    <row r="148" spans="1:5" s="41" customFormat="1" ht="42.75" customHeight="1">
      <c r="A148" s="17" t="s">
        <v>915</v>
      </c>
      <c r="B148" s="22" t="s">
        <v>178</v>
      </c>
      <c r="C148" s="37" t="s">
        <v>496</v>
      </c>
      <c r="D148" s="85">
        <v>3.825</v>
      </c>
      <c r="E148" s="50"/>
    </row>
    <row r="149" spans="1:5" s="41" customFormat="1" ht="18" customHeight="1">
      <c r="A149" s="17" t="s">
        <v>386</v>
      </c>
      <c r="B149" s="22" t="s">
        <v>178</v>
      </c>
      <c r="C149" s="37" t="s">
        <v>498</v>
      </c>
      <c r="D149" s="85">
        <f>5217-30.30303+9986.48429+161.18502-282-562.18502</f>
        <v>14490.181260000001</v>
      </c>
      <c r="E149" s="50"/>
    </row>
    <row r="150" spans="1:5" s="41" customFormat="1" ht="18" customHeight="1">
      <c r="A150" s="46" t="s">
        <v>304</v>
      </c>
      <c r="B150" s="22" t="s">
        <v>178</v>
      </c>
      <c r="C150" s="37" t="s">
        <v>497</v>
      </c>
      <c r="D150" s="85">
        <f>9542-161.18502-517+562.18502</f>
        <v>9426</v>
      </c>
      <c r="E150" s="50"/>
    </row>
    <row r="151" spans="1:5" s="41" customFormat="1" ht="45.75" customHeight="1" hidden="1">
      <c r="A151" s="46" t="s">
        <v>517</v>
      </c>
      <c r="B151" s="22" t="s">
        <v>850</v>
      </c>
      <c r="C151" s="37" t="s">
        <v>518</v>
      </c>
      <c r="D151" s="85"/>
      <c r="E151" s="50"/>
    </row>
    <row r="152" spans="1:5" s="41" customFormat="1" ht="45.75" customHeight="1" hidden="1">
      <c r="A152" s="46" t="s">
        <v>521</v>
      </c>
      <c r="B152" s="22" t="s">
        <v>851</v>
      </c>
      <c r="C152" s="37" t="s">
        <v>522</v>
      </c>
      <c r="D152" s="85"/>
      <c r="E152" s="50"/>
    </row>
    <row r="153" spans="1:5" s="41" customFormat="1" ht="30.75" customHeight="1">
      <c r="A153" s="46" t="s">
        <v>757</v>
      </c>
      <c r="B153" s="22" t="s">
        <v>178</v>
      </c>
      <c r="C153" s="37" t="s">
        <v>728</v>
      </c>
      <c r="D153" s="85">
        <v>3000</v>
      </c>
      <c r="E153" s="50"/>
    </row>
    <row r="154" spans="1:5" s="41" customFormat="1" ht="42.75" customHeight="1">
      <c r="A154" s="46" t="s">
        <v>758</v>
      </c>
      <c r="B154" s="22" t="s">
        <v>178</v>
      </c>
      <c r="C154" s="37" t="s">
        <v>753</v>
      </c>
      <c r="D154" s="85">
        <v>30.30303</v>
      </c>
      <c r="E154" s="50"/>
    </row>
    <row r="155" spans="1:5" s="41" customFormat="1" ht="45.75" customHeight="1">
      <c r="A155" s="79" t="s">
        <v>642</v>
      </c>
      <c r="B155" s="86" t="s">
        <v>414</v>
      </c>
      <c r="C155" s="86" t="s">
        <v>531</v>
      </c>
      <c r="D155" s="93">
        <f>SUM(D156:D159)</f>
        <v>1215</v>
      </c>
      <c r="E155" s="50"/>
    </row>
    <row r="156" spans="1:5" s="41" customFormat="1" ht="17.25" customHeight="1">
      <c r="A156" s="17" t="s">
        <v>902</v>
      </c>
      <c r="B156" s="22" t="s">
        <v>417</v>
      </c>
      <c r="C156" s="37" t="s">
        <v>532</v>
      </c>
      <c r="D156" s="85">
        <f>1215-61.8-50-158</f>
        <v>945.2</v>
      </c>
      <c r="E156" s="50"/>
    </row>
    <row r="157" spans="1:5" s="41" customFormat="1" ht="16.5" customHeight="1">
      <c r="A157" s="17" t="s">
        <v>901</v>
      </c>
      <c r="B157" s="22" t="s">
        <v>178</v>
      </c>
      <c r="C157" s="37" t="s">
        <v>674</v>
      </c>
      <c r="D157" s="85">
        <f>31.6+50</f>
        <v>81.6</v>
      </c>
      <c r="E157" s="50"/>
    </row>
    <row r="158" spans="1:5" s="41" customFormat="1" ht="16.5" customHeight="1">
      <c r="A158" s="17" t="s">
        <v>903</v>
      </c>
      <c r="B158" s="22" t="s">
        <v>178</v>
      </c>
      <c r="C158" s="37" t="s">
        <v>900</v>
      </c>
      <c r="D158" s="85">
        <v>30.2</v>
      </c>
      <c r="E158" s="50"/>
    </row>
    <row r="159" spans="1:5" s="41" customFormat="1" ht="16.5" customHeight="1">
      <c r="A159" s="17" t="s">
        <v>909</v>
      </c>
      <c r="B159" s="22" t="s">
        <v>417</v>
      </c>
      <c r="C159" s="37" t="s">
        <v>910</v>
      </c>
      <c r="D159" s="85">
        <v>158</v>
      </c>
      <c r="E159" s="50"/>
    </row>
    <row r="160" spans="1:5" s="41" customFormat="1" ht="45.75" customHeight="1">
      <c r="A160" s="79" t="s">
        <v>552</v>
      </c>
      <c r="B160" s="86" t="s">
        <v>414</v>
      </c>
      <c r="C160" s="86" t="s">
        <v>534</v>
      </c>
      <c r="D160" s="93">
        <f>SUM(D161:D166)</f>
        <v>21400.780999999995</v>
      </c>
      <c r="E160" s="50"/>
    </row>
    <row r="161" spans="1:5" s="41" customFormat="1" ht="33" customHeight="1" hidden="1">
      <c r="A161" s="17" t="s">
        <v>538</v>
      </c>
      <c r="B161" s="22" t="s">
        <v>855</v>
      </c>
      <c r="C161" s="37" t="s">
        <v>530</v>
      </c>
      <c r="D161" s="85">
        <v>0</v>
      </c>
      <c r="E161" s="50"/>
    </row>
    <row r="162" spans="1:5" s="41" customFormat="1" ht="15" customHeight="1">
      <c r="A162" s="46" t="s">
        <v>238</v>
      </c>
      <c r="B162" s="22" t="s">
        <v>178</v>
      </c>
      <c r="C162" s="37" t="s">
        <v>529</v>
      </c>
      <c r="D162" s="85">
        <f>1090-288.27</f>
        <v>801.73</v>
      </c>
      <c r="E162" s="50"/>
    </row>
    <row r="163" spans="1:5" s="41" customFormat="1" ht="57.75" customHeight="1">
      <c r="A163" s="46" t="s">
        <v>540</v>
      </c>
      <c r="B163" s="22" t="s">
        <v>418</v>
      </c>
      <c r="C163" s="37" t="s">
        <v>526</v>
      </c>
      <c r="D163" s="85">
        <v>11291.076</v>
      </c>
      <c r="E163" s="50"/>
    </row>
    <row r="164" spans="1:5" s="41" customFormat="1" ht="31.5" customHeight="1">
      <c r="A164" s="46" t="s">
        <v>315</v>
      </c>
      <c r="B164" s="22" t="s">
        <v>418</v>
      </c>
      <c r="C164" s="37" t="s">
        <v>527</v>
      </c>
      <c r="D164" s="85">
        <f>8375.417+212.558</f>
        <v>8587.974999999999</v>
      </c>
      <c r="E164" s="50"/>
    </row>
    <row r="165" spans="1:5" s="41" customFormat="1" ht="29.25" customHeight="1">
      <c r="A165" s="46" t="s">
        <v>667</v>
      </c>
      <c r="B165" s="22" t="s">
        <v>418</v>
      </c>
      <c r="C165" s="37" t="s">
        <v>528</v>
      </c>
      <c r="D165" s="85">
        <f>450+170+100</f>
        <v>720</v>
      </c>
      <c r="E165" s="50"/>
    </row>
    <row r="166" spans="1:5" s="41" customFormat="1" ht="42.75" customHeight="1" hidden="1">
      <c r="A166" s="46" t="s">
        <v>702</v>
      </c>
      <c r="B166" s="22" t="s">
        <v>856</v>
      </c>
      <c r="C166" s="37" t="s">
        <v>742</v>
      </c>
      <c r="D166" s="85"/>
      <c r="E166" s="50"/>
    </row>
    <row r="167" spans="1:5" s="41" customFormat="1" ht="33.75" customHeight="1">
      <c r="A167" s="82" t="s">
        <v>860</v>
      </c>
      <c r="B167" s="86" t="s">
        <v>414</v>
      </c>
      <c r="C167" s="80" t="s">
        <v>566</v>
      </c>
      <c r="D167" s="93">
        <f>D168</f>
        <v>15</v>
      </c>
      <c r="E167" s="50"/>
    </row>
    <row r="168" spans="1:5" s="41" customFormat="1" ht="28.5" customHeight="1">
      <c r="A168" s="46" t="s">
        <v>567</v>
      </c>
      <c r="B168" s="22" t="s">
        <v>178</v>
      </c>
      <c r="C168" s="37" t="s">
        <v>568</v>
      </c>
      <c r="D168" s="85">
        <f>D169</f>
        <v>15</v>
      </c>
      <c r="E168" s="50"/>
    </row>
    <row r="169" spans="1:5" s="41" customFormat="1" ht="16.5" customHeight="1">
      <c r="A169" s="46" t="s">
        <v>622</v>
      </c>
      <c r="B169" s="22" t="s">
        <v>178</v>
      </c>
      <c r="C169" s="37" t="s">
        <v>570</v>
      </c>
      <c r="D169" s="85">
        <v>15</v>
      </c>
      <c r="E169" s="50"/>
    </row>
    <row r="170" spans="1:5" s="41" customFormat="1" ht="44.25" customHeight="1">
      <c r="A170" s="79" t="s">
        <v>576</v>
      </c>
      <c r="B170" s="86" t="s">
        <v>414</v>
      </c>
      <c r="C170" s="86" t="s">
        <v>577</v>
      </c>
      <c r="D170" s="93">
        <f>D171+D172</f>
        <v>2803.93102</v>
      </c>
      <c r="E170" s="50"/>
    </row>
    <row r="171" spans="1:5" s="41" customFormat="1" ht="31.5" customHeight="1">
      <c r="A171" s="46" t="s">
        <v>643</v>
      </c>
      <c r="B171" s="22" t="s">
        <v>178</v>
      </c>
      <c r="C171" s="37" t="s">
        <v>579</v>
      </c>
      <c r="D171" s="85">
        <f>1382.48629+1391.44473</f>
        <v>2773.93102</v>
      </c>
      <c r="E171" s="50"/>
    </row>
    <row r="172" spans="1:5" s="41" customFormat="1" ht="29.25" customHeight="1">
      <c r="A172" s="46" t="s">
        <v>644</v>
      </c>
      <c r="B172" s="22" t="s">
        <v>178</v>
      </c>
      <c r="C172" s="37" t="s">
        <v>752</v>
      </c>
      <c r="D172" s="85">
        <f>20+10</f>
        <v>30</v>
      </c>
      <c r="E172" s="50"/>
    </row>
    <row r="173" spans="1:5" s="41" customFormat="1" ht="73.5" customHeight="1">
      <c r="A173" s="79" t="s">
        <v>894</v>
      </c>
      <c r="B173" s="86" t="s">
        <v>414</v>
      </c>
      <c r="C173" s="86" t="s">
        <v>808</v>
      </c>
      <c r="D173" s="93">
        <f>SUM(D174:D176)</f>
        <v>33162.18875</v>
      </c>
      <c r="E173" s="50"/>
    </row>
    <row r="174" spans="1:5" s="41" customFormat="1" ht="31.5" customHeight="1">
      <c r="A174" s="46" t="s">
        <v>810</v>
      </c>
      <c r="B174" s="22" t="s">
        <v>178</v>
      </c>
      <c r="C174" s="37" t="s">
        <v>812</v>
      </c>
      <c r="D174" s="85">
        <f>14799.63122-1788.71266-1497.08925</f>
        <v>11513.829310000001</v>
      </c>
      <c r="E174" s="50"/>
    </row>
    <row r="175" spans="1:5" s="41" customFormat="1" ht="33" customHeight="1">
      <c r="A175" s="46" t="s">
        <v>811</v>
      </c>
      <c r="B175" s="22" t="s">
        <v>178</v>
      </c>
      <c r="C175" s="37" t="s">
        <v>813</v>
      </c>
      <c r="D175" s="85">
        <v>530.28251</v>
      </c>
      <c r="E175" s="50"/>
    </row>
    <row r="176" spans="1:7" s="41" customFormat="1" ht="44.25" customHeight="1">
      <c r="A176" s="46" t="s">
        <v>809</v>
      </c>
      <c r="B176" s="22" t="s">
        <v>178</v>
      </c>
      <c r="C176" s="37" t="s">
        <v>814</v>
      </c>
      <c r="D176" s="85">
        <v>21118.07693</v>
      </c>
      <c r="E176" s="91"/>
      <c r="F176" s="91"/>
      <c r="G176" s="91"/>
    </row>
    <row r="177" spans="1:5" s="306" customFormat="1" ht="18" customHeight="1">
      <c r="A177" s="82" t="s">
        <v>101</v>
      </c>
      <c r="B177" s="178"/>
      <c r="C177" s="179"/>
      <c r="D177" s="93">
        <f>D139+D101+D99+D80+D73+D70+D66+D12+D143+D145+D155+D160+D167+D170+D173</f>
        <v>564283.78121</v>
      </c>
      <c r="E177" s="311"/>
    </row>
    <row r="178" spans="1:5" ht="18" customHeight="1">
      <c r="A178" s="312" t="s">
        <v>361</v>
      </c>
      <c r="B178" s="312"/>
      <c r="C178" s="312"/>
      <c r="D178" s="312"/>
      <c r="E178" s="27"/>
    </row>
    <row r="179" spans="1:5" ht="30" customHeight="1">
      <c r="A179" s="38" t="s">
        <v>152</v>
      </c>
      <c r="B179" s="57"/>
      <c r="C179" s="58" t="s">
        <v>10</v>
      </c>
      <c r="D179" s="109"/>
      <c r="E179" s="27"/>
    </row>
    <row r="180" spans="1:5" ht="13.5">
      <c r="A180" s="38" t="s">
        <v>102</v>
      </c>
      <c r="B180" s="57"/>
      <c r="C180" s="58" t="s">
        <v>11</v>
      </c>
      <c r="D180" s="109"/>
      <c r="E180" s="27"/>
    </row>
    <row r="181" spans="1:5" ht="13.5">
      <c r="A181" s="46" t="s">
        <v>419</v>
      </c>
      <c r="B181" s="57"/>
      <c r="C181" s="58" t="s">
        <v>12</v>
      </c>
      <c r="D181" s="109">
        <v>1836.31</v>
      </c>
      <c r="E181" s="27"/>
    </row>
    <row r="182" spans="1:5" ht="18" customHeight="1">
      <c r="A182" s="46" t="s">
        <v>119</v>
      </c>
      <c r="B182" s="57"/>
      <c r="C182" s="58" t="s">
        <v>13</v>
      </c>
      <c r="D182" s="109">
        <v>1683</v>
      </c>
      <c r="E182" s="27"/>
    </row>
    <row r="183" spans="1:6" ht="28.5" customHeight="1">
      <c r="A183" s="46" t="s">
        <v>156</v>
      </c>
      <c r="B183" s="57"/>
      <c r="C183" s="58" t="s">
        <v>14</v>
      </c>
      <c r="D183" s="128">
        <f>38984.79+15-40.158+55.67+65+25</f>
        <v>39105.301999999996</v>
      </c>
      <c r="E183" s="68"/>
      <c r="F183" s="68"/>
    </row>
    <row r="184" spans="1:5" ht="16.5" customHeight="1">
      <c r="A184" s="46" t="s">
        <v>120</v>
      </c>
      <c r="B184" s="57"/>
      <c r="C184" s="58" t="s">
        <v>15</v>
      </c>
      <c r="D184" s="109">
        <v>1585.4</v>
      </c>
      <c r="E184" s="27"/>
    </row>
    <row r="185" spans="1:5" ht="15" customHeight="1">
      <c r="A185" s="46" t="s">
        <v>121</v>
      </c>
      <c r="B185" s="57"/>
      <c r="C185" s="58" t="s">
        <v>20</v>
      </c>
      <c r="D185" s="109">
        <v>2</v>
      </c>
      <c r="E185" s="27"/>
    </row>
    <row r="186" spans="1:5" ht="16.5" customHeight="1">
      <c r="A186" s="46" t="s">
        <v>122</v>
      </c>
      <c r="B186" s="57"/>
      <c r="C186" s="58" t="s">
        <v>21</v>
      </c>
      <c r="D186" s="109">
        <f>430+320</f>
        <v>750</v>
      </c>
      <c r="E186" s="27"/>
    </row>
    <row r="187" spans="1:5" ht="27" customHeight="1">
      <c r="A187" s="46" t="s">
        <v>380</v>
      </c>
      <c r="B187" s="57"/>
      <c r="C187" s="58" t="s">
        <v>22</v>
      </c>
      <c r="D187" s="109">
        <v>100</v>
      </c>
      <c r="E187" s="27"/>
    </row>
    <row r="188" spans="1:5" ht="33" customHeight="1" hidden="1">
      <c r="A188" s="46" t="s">
        <v>43</v>
      </c>
      <c r="B188" s="57"/>
      <c r="C188" s="58" t="s">
        <v>23</v>
      </c>
      <c r="D188" s="109"/>
      <c r="E188" s="27"/>
    </row>
    <row r="189" spans="1:5" ht="17.25" customHeight="1" hidden="1">
      <c r="A189" s="46" t="s">
        <v>386</v>
      </c>
      <c r="B189" s="57"/>
      <c r="C189" s="58" t="s">
        <v>24</v>
      </c>
      <c r="D189" s="109"/>
      <c r="E189" s="51"/>
    </row>
    <row r="190" spans="1:5" ht="15.75" customHeight="1">
      <c r="A190" s="46" t="s">
        <v>575</v>
      </c>
      <c r="B190" s="57"/>
      <c r="C190" s="58" t="s">
        <v>26</v>
      </c>
      <c r="D190" s="109">
        <v>503.9</v>
      </c>
      <c r="E190" s="51"/>
    </row>
    <row r="191" spans="1:5" ht="15" customHeight="1">
      <c r="A191" s="46" t="s">
        <v>399</v>
      </c>
      <c r="B191" s="57"/>
      <c r="C191" s="58" t="s">
        <v>27</v>
      </c>
      <c r="D191" s="109">
        <f>90-15</f>
        <v>75</v>
      </c>
      <c r="E191" s="27"/>
    </row>
    <row r="192" spans="1:5" ht="15.75" customHeight="1">
      <c r="A192" s="46" t="s">
        <v>400</v>
      </c>
      <c r="B192" s="57"/>
      <c r="C192" s="58" t="s">
        <v>28</v>
      </c>
      <c r="D192" s="109">
        <f>100+1950.4+0.004+296.598-65</f>
        <v>2282.002</v>
      </c>
      <c r="E192" s="27"/>
    </row>
    <row r="193" spans="1:5" ht="15.75" customHeight="1">
      <c r="A193" s="46" t="s">
        <v>486</v>
      </c>
      <c r="B193" s="57"/>
      <c r="C193" s="58" t="s">
        <v>86</v>
      </c>
      <c r="D193" s="109">
        <f>683+84.6</f>
        <v>767.6</v>
      </c>
      <c r="E193" s="27"/>
    </row>
    <row r="194" spans="1:5" ht="15.75" customHeight="1" hidden="1">
      <c r="A194" s="46" t="s">
        <v>208</v>
      </c>
      <c r="B194" s="57"/>
      <c r="C194" s="58" t="s">
        <v>93</v>
      </c>
      <c r="D194" s="109"/>
      <c r="E194" s="27"/>
    </row>
    <row r="195" spans="1:5" ht="15.75" customHeight="1">
      <c r="A195" s="46" t="s">
        <v>494</v>
      </c>
      <c r="B195" s="57"/>
      <c r="C195" s="58" t="s">
        <v>94</v>
      </c>
      <c r="D195" s="109">
        <f>655.9+15</f>
        <v>670.9</v>
      </c>
      <c r="E195" s="27"/>
    </row>
    <row r="196" spans="1:5" ht="30" customHeight="1" hidden="1">
      <c r="A196" s="46" t="s">
        <v>315</v>
      </c>
      <c r="B196" s="57"/>
      <c r="C196" s="58" t="s">
        <v>95</v>
      </c>
      <c r="D196" s="109"/>
      <c r="E196" s="27"/>
    </row>
    <row r="197" spans="1:5" ht="17.25" customHeight="1" hidden="1">
      <c r="A197" s="46" t="s">
        <v>461</v>
      </c>
      <c r="B197" s="57"/>
      <c r="C197" s="58" t="s">
        <v>96</v>
      </c>
      <c r="D197" s="109"/>
      <c r="E197" s="27"/>
    </row>
    <row r="198" spans="1:5" ht="79.5" customHeight="1" hidden="1">
      <c r="A198" s="46" t="s">
        <v>516</v>
      </c>
      <c r="B198" s="57"/>
      <c r="C198" s="58" t="s">
        <v>515</v>
      </c>
      <c r="D198" s="109"/>
      <c r="E198" s="27"/>
    </row>
    <row r="199" spans="1:5" ht="17.25" customHeight="1" hidden="1">
      <c r="A199" s="46" t="s">
        <v>510</v>
      </c>
      <c r="B199" s="57"/>
      <c r="C199" s="58" t="s">
        <v>511</v>
      </c>
      <c r="D199" s="109"/>
      <c r="E199" s="27"/>
    </row>
    <row r="200" spans="1:5" ht="17.25" customHeight="1">
      <c r="A200" s="46" t="s">
        <v>519</v>
      </c>
      <c r="B200" s="57"/>
      <c r="C200" s="58" t="s">
        <v>520</v>
      </c>
      <c r="D200" s="109">
        <f>1402.9-504.6-2+138.78701</f>
        <v>1035.0870100000002</v>
      </c>
      <c r="E200" s="27"/>
    </row>
    <row r="201" spans="1:5" ht="63.75" customHeight="1" hidden="1">
      <c r="A201" s="46" t="s">
        <v>338</v>
      </c>
      <c r="B201" s="57"/>
      <c r="C201" s="58" t="s">
        <v>501</v>
      </c>
      <c r="D201" s="109"/>
      <c r="E201" s="27"/>
    </row>
    <row r="202" spans="1:5" ht="15.75" customHeight="1" hidden="1">
      <c r="A202" s="46" t="s">
        <v>549</v>
      </c>
      <c r="B202" s="57"/>
      <c r="C202" s="58" t="s">
        <v>550</v>
      </c>
      <c r="D202" s="109"/>
      <c r="E202" s="27"/>
    </row>
    <row r="203" spans="1:5" ht="15.75" customHeight="1">
      <c r="A203" s="46" t="s">
        <v>645</v>
      </c>
      <c r="B203" s="57"/>
      <c r="C203" s="58" t="s">
        <v>584</v>
      </c>
      <c r="D203" s="109">
        <v>900</v>
      </c>
      <c r="E203" s="27"/>
    </row>
    <row r="204" spans="1:5" ht="15.75" customHeight="1">
      <c r="A204" s="46" t="s">
        <v>561</v>
      </c>
      <c r="B204" s="57"/>
      <c r="C204" s="58" t="s">
        <v>562</v>
      </c>
      <c r="D204" s="109">
        <f>100-11.45-24.964+600-25.292-6.497-16.526-16.045-27.55-20-5-20</f>
        <v>526.6760000000002</v>
      </c>
      <c r="E204" s="27"/>
    </row>
    <row r="205" spans="1:5" ht="30" customHeight="1">
      <c r="A205" s="46" t="s">
        <v>764</v>
      </c>
      <c r="B205" s="57"/>
      <c r="C205" s="58" t="s">
        <v>765</v>
      </c>
      <c r="D205" s="109">
        <f>11.45+24.964+25.292+6.497+16.526+16.045+20+27.55+5+20</f>
        <v>173.324</v>
      </c>
      <c r="E205" s="27"/>
    </row>
    <row r="206" spans="1:5" ht="39.75" customHeight="1" hidden="1">
      <c r="A206" s="46" t="s">
        <v>796</v>
      </c>
      <c r="B206" s="57"/>
      <c r="C206" s="58" t="s">
        <v>797</v>
      </c>
      <c r="D206" s="109"/>
      <c r="E206" s="27"/>
    </row>
    <row r="207" spans="1:5" ht="15.75" customHeight="1">
      <c r="A207" s="46" t="s">
        <v>573</v>
      </c>
      <c r="B207" s="57"/>
      <c r="C207" s="58" t="s">
        <v>574</v>
      </c>
      <c r="D207" s="109">
        <f>80.3+40.158</f>
        <v>120.458</v>
      </c>
      <c r="E207" s="27"/>
    </row>
    <row r="208" spans="1:7" ht="57" customHeight="1">
      <c r="A208" s="46" t="s">
        <v>580</v>
      </c>
      <c r="B208" s="57"/>
      <c r="C208" s="58" t="s">
        <v>581</v>
      </c>
      <c r="D208" s="109">
        <f>250-150</f>
        <v>100</v>
      </c>
      <c r="E208" s="27"/>
      <c r="G208" s="68"/>
    </row>
    <row r="209" spans="1:7" ht="16.5" customHeight="1">
      <c r="A209" s="46" t="s">
        <v>907</v>
      </c>
      <c r="B209" s="57"/>
      <c r="C209" s="58" t="s">
        <v>908</v>
      </c>
      <c r="D209" s="109">
        <v>287.5</v>
      </c>
      <c r="E209" s="27"/>
      <c r="G209" s="68"/>
    </row>
    <row r="210" spans="1:7" ht="16.5" customHeight="1">
      <c r="A210" s="46" t="s">
        <v>958</v>
      </c>
      <c r="B210" s="57"/>
      <c r="C210" s="58" t="s">
        <v>959</v>
      </c>
      <c r="D210" s="109">
        <v>222.57</v>
      </c>
      <c r="E210" s="27"/>
      <c r="G210" s="68"/>
    </row>
    <row r="211" spans="1:5" ht="55.5" customHeight="1">
      <c r="A211" s="46" t="s">
        <v>103</v>
      </c>
      <c r="B211" s="57"/>
      <c r="C211" s="141">
        <v>9999959300</v>
      </c>
      <c r="D211" s="109">
        <f>1361.162+34.03</f>
        <v>1395.192</v>
      </c>
      <c r="E211" s="27"/>
    </row>
    <row r="212" spans="1:5" ht="33" customHeight="1" hidden="1">
      <c r="A212" s="46" t="s">
        <v>798</v>
      </c>
      <c r="B212" s="57"/>
      <c r="C212" s="141" t="s">
        <v>799</v>
      </c>
      <c r="D212" s="109"/>
      <c r="E212" s="27"/>
    </row>
    <row r="213" spans="1:5" ht="29.25" customHeight="1">
      <c r="A213" s="46" t="s">
        <v>941</v>
      </c>
      <c r="B213" s="57"/>
      <c r="C213" s="141">
        <v>9999993180</v>
      </c>
      <c r="D213" s="109">
        <v>272.232</v>
      </c>
      <c r="E213" s="27"/>
    </row>
    <row r="214" spans="1:5" ht="16.5" customHeight="1">
      <c r="A214" s="82" t="s">
        <v>873</v>
      </c>
      <c r="B214" s="178"/>
      <c r="C214" s="179" t="s">
        <v>875</v>
      </c>
      <c r="D214" s="209">
        <f>D215+D216</f>
        <v>1982.183</v>
      </c>
      <c r="E214" s="27"/>
    </row>
    <row r="215" spans="1:5" ht="27.75" customHeight="1">
      <c r="A215" s="46" t="s">
        <v>104</v>
      </c>
      <c r="B215" s="57"/>
      <c r="C215" s="58" t="s">
        <v>875</v>
      </c>
      <c r="D215" s="109">
        <f>1197.791+10.976</f>
        <v>1208.767</v>
      </c>
      <c r="E215" s="27"/>
    </row>
    <row r="216" spans="1:5" ht="13.5">
      <c r="A216" s="46" t="s">
        <v>105</v>
      </c>
      <c r="B216" s="57"/>
      <c r="C216" s="58" t="s">
        <v>875</v>
      </c>
      <c r="D216" s="109">
        <f>766.425+6.991</f>
        <v>773.4159999999999</v>
      </c>
      <c r="E216" s="27"/>
    </row>
    <row r="217" spans="1:5" ht="30" customHeight="1">
      <c r="A217" s="46" t="s">
        <v>741</v>
      </c>
      <c r="B217" s="57"/>
      <c r="C217" s="58" t="s">
        <v>42</v>
      </c>
      <c r="D217" s="109">
        <v>265.91093</v>
      </c>
      <c r="E217" s="27"/>
    </row>
    <row r="218" spans="1:5" ht="17.25" customHeight="1">
      <c r="A218" s="46" t="s">
        <v>106</v>
      </c>
      <c r="B218" s="57"/>
      <c r="C218" s="58" t="s">
        <v>16</v>
      </c>
      <c r="D218" s="109">
        <f>794.861+7.116</f>
        <v>801.977</v>
      </c>
      <c r="E218" s="27"/>
    </row>
    <row r="219" spans="1:5" ht="30" customHeight="1">
      <c r="A219" s="46" t="s">
        <v>682</v>
      </c>
      <c r="B219" s="57"/>
      <c r="C219" s="58" t="s">
        <v>703</v>
      </c>
      <c r="D219" s="109">
        <f>1865.848+16.655</f>
        <v>1882.503</v>
      </c>
      <c r="E219" s="27"/>
    </row>
    <row r="220" spans="1:5" ht="41.25" customHeight="1" hidden="1">
      <c r="A220" s="46" t="s">
        <v>683</v>
      </c>
      <c r="B220" s="57"/>
      <c r="C220" s="58" t="s">
        <v>704</v>
      </c>
      <c r="D220" s="109"/>
      <c r="E220" s="27"/>
    </row>
    <row r="221" spans="1:5" ht="29.25" customHeight="1" hidden="1">
      <c r="A221" s="46" t="s">
        <v>684</v>
      </c>
      <c r="B221" s="57"/>
      <c r="C221" s="58" t="s">
        <v>705</v>
      </c>
      <c r="D221" s="109"/>
      <c r="E221" s="27"/>
    </row>
    <row r="222" spans="1:5" ht="41.25">
      <c r="A222" s="46" t="s">
        <v>107</v>
      </c>
      <c r="B222" s="57"/>
      <c r="C222" s="58" t="s">
        <v>29</v>
      </c>
      <c r="D222" s="109">
        <v>1.69524</v>
      </c>
      <c r="E222" s="27"/>
    </row>
    <row r="223" spans="1:5" ht="30.75" customHeight="1">
      <c r="A223" s="46" t="s">
        <v>747</v>
      </c>
      <c r="B223" s="57"/>
      <c r="C223" s="58" t="s">
        <v>465</v>
      </c>
      <c r="D223" s="109">
        <f>26.012+0.0008</f>
        <v>26.012800000000002</v>
      </c>
      <c r="E223" s="27"/>
    </row>
    <row r="224" spans="1:5" ht="27" hidden="1">
      <c r="A224" s="46" t="s">
        <v>108</v>
      </c>
      <c r="B224" s="57"/>
      <c r="C224" s="58">
        <v>9999951180</v>
      </c>
      <c r="D224" s="109"/>
      <c r="E224" s="51"/>
    </row>
    <row r="225" spans="1:5" ht="42.75" customHeight="1">
      <c r="A225" s="46" t="s">
        <v>646</v>
      </c>
      <c r="B225" s="57"/>
      <c r="C225" s="58" t="s">
        <v>572</v>
      </c>
      <c r="D225" s="109">
        <v>3.38708</v>
      </c>
      <c r="E225" s="51"/>
    </row>
    <row r="226" spans="1:5" ht="42.75" customHeight="1">
      <c r="A226" s="46" t="s">
        <v>626</v>
      </c>
      <c r="B226" s="57"/>
      <c r="C226" s="58" t="s">
        <v>565</v>
      </c>
      <c r="D226" s="109">
        <v>879.91987</v>
      </c>
      <c r="E226" s="84"/>
    </row>
    <row r="227" spans="1:5" ht="84" customHeight="1">
      <c r="A227" s="46" t="s">
        <v>963</v>
      </c>
      <c r="B227" s="57"/>
      <c r="C227" s="58" t="s">
        <v>951</v>
      </c>
      <c r="D227" s="109">
        <v>89.342</v>
      </c>
      <c r="E227" s="51"/>
    </row>
    <row r="228" spans="1:5" ht="15" customHeight="1">
      <c r="A228" s="46" t="s">
        <v>874</v>
      </c>
      <c r="B228" s="57"/>
      <c r="C228" s="58" t="s">
        <v>876</v>
      </c>
      <c r="D228" s="109">
        <v>307.152</v>
      </c>
      <c r="E228" s="188"/>
    </row>
    <row r="229" spans="1:5" ht="54.75" customHeight="1" hidden="1">
      <c r="A229" s="46" t="s">
        <v>780</v>
      </c>
      <c r="B229" s="57"/>
      <c r="C229" s="58" t="s">
        <v>781</v>
      </c>
      <c r="D229" s="109"/>
      <c r="E229" s="51"/>
    </row>
    <row r="230" spans="1:6" ht="16.5" customHeight="1">
      <c r="A230" s="82" t="s">
        <v>125</v>
      </c>
      <c r="B230" s="178"/>
      <c r="C230" s="179"/>
      <c r="D230" s="92">
        <f>SUM(D181:D214)+SUM(D217:D228)</f>
        <v>60634.53593</v>
      </c>
      <c r="E230" s="313"/>
      <c r="F230" s="68"/>
    </row>
    <row r="231" spans="1:5" s="23" customFormat="1" ht="19.5" customHeight="1">
      <c r="A231" s="82" t="s">
        <v>109</v>
      </c>
      <c r="B231" s="178"/>
      <c r="C231" s="179"/>
      <c r="D231" s="92">
        <f>D230+D177</f>
        <v>624918.31714</v>
      </c>
      <c r="E231" s="314"/>
    </row>
    <row r="232" ht="15">
      <c r="D232" s="316"/>
    </row>
    <row r="233" ht="12.75">
      <c r="C233" s="196"/>
    </row>
    <row r="234" ht="12.75">
      <c r="C234" s="196"/>
    </row>
    <row r="235" spans="3:4" ht="12.75">
      <c r="C235" s="317"/>
      <c r="D235" s="216"/>
    </row>
    <row r="237" ht="12.75">
      <c r="C237" s="35"/>
    </row>
    <row r="239" ht="12.75">
      <c r="E239" s="68"/>
    </row>
  </sheetData>
  <sheetProtection/>
  <mergeCells count="7">
    <mergeCell ref="A178:D178"/>
    <mergeCell ref="A6:D6"/>
    <mergeCell ref="A11:D11"/>
    <mergeCell ref="A1:D1"/>
    <mergeCell ref="A2:D2"/>
    <mergeCell ref="A3:D3"/>
    <mergeCell ref="A4:D4"/>
  </mergeCells>
  <printOptions/>
  <pageMargins left="0.7480314960629921" right="0.7480314960629921" top="0.984251968503937" bottom="0.7874015748031497" header="0.5118110236220472" footer="0.5118110236220472"/>
  <pageSetup fitToHeight="0" horizontalDpi="600" verticalDpi="600" orientation="portrait" paperSize="9" scale="57" r:id="rId1"/>
  <rowBreaks count="3" manualBreakCount="3">
    <brk id="50" max="3" man="1"/>
    <brk id="144" max="3" man="1"/>
    <brk id="177" max="3" man="1"/>
  </rowBreaks>
</worksheet>
</file>

<file path=xl/worksheets/sheet6.xml><?xml version="1.0" encoding="utf-8"?>
<worksheet xmlns="http://schemas.openxmlformats.org/spreadsheetml/2006/main" xmlns:r="http://schemas.openxmlformats.org/officeDocument/2006/relationships">
  <sheetPr>
    <tabColor rgb="FFFF0000"/>
    <pageSetUpPr fitToPage="1"/>
  </sheetPr>
  <dimension ref="A1:G227"/>
  <sheetViews>
    <sheetView view="pageBreakPreview" zoomScaleSheetLayoutView="100" zoomScalePageLayoutView="0" workbookViewId="0" topLeftCell="A201">
      <selection activeCell="A201" sqref="A1:IV16384"/>
    </sheetView>
  </sheetViews>
  <sheetFormatPr defaultColWidth="8.625" defaultRowHeight="12.75"/>
  <cols>
    <col min="1" max="1" width="73.625" style="315" customWidth="1"/>
    <col min="2" max="2" width="6.625" style="35" customWidth="1"/>
    <col min="3" max="3" width="18.50390625" style="175" customWidth="1"/>
    <col min="4" max="4" width="14.625" style="68" customWidth="1"/>
    <col min="5" max="5" width="16.50390625" style="35" customWidth="1"/>
    <col min="6" max="6" width="17.50390625" style="35" customWidth="1"/>
    <col min="7" max="7" width="15.50390625" style="35" bestFit="1" customWidth="1"/>
    <col min="8" max="16384" width="8.625" style="35" customWidth="1"/>
  </cols>
  <sheetData>
    <row r="1" spans="1:4" ht="15">
      <c r="A1" s="271" t="s">
        <v>955</v>
      </c>
      <c r="B1" s="271"/>
      <c r="C1" s="271"/>
      <c r="D1" s="271"/>
    </row>
    <row r="2" spans="1:4" ht="15">
      <c r="A2" s="271" t="s">
        <v>410</v>
      </c>
      <c r="B2" s="271"/>
      <c r="C2" s="271"/>
      <c r="D2" s="271"/>
    </row>
    <row r="3" spans="1:4" ht="15">
      <c r="A3" s="271" t="s">
        <v>452</v>
      </c>
      <c r="B3" s="271"/>
      <c r="C3" s="271"/>
      <c r="D3" s="271"/>
    </row>
    <row r="4" spans="1:4" ht="15">
      <c r="A4" s="242" t="s">
        <v>964</v>
      </c>
      <c r="B4" s="242"/>
      <c r="C4" s="242"/>
      <c r="D4" s="242"/>
    </row>
    <row r="5" spans="1:2" ht="5.25" customHeight="1">
      <c r="A5" s="18"/>
      <c r="B5" s="174"/>
    </row>
    <row r="6" spans="1:4" ht="60.75" customHeight="1">
      <c r="A6" s="297" t="s">
        <v>858</v>
      </c>
      <c r="B6" s="297"/>
      <c r="C6" s="297"/>
      <c r="D6" s="297"/>
    </row>
    <row r="7" spans="1:4" ht="3.75" customHeight="1">
      <c r="A7" s="36"/>
      <c r="B7" s="36"/>
      <c r="C7" s="36"/>
      <c r="D7" s="108"/>
    </row>
    <row r="8" spans="1:4" ht="12.75">
      <c r="A8" s="18"/>
      <c r="B8" s="176"/>
      <c r="C8" s="177"/>
      <c r="D8" s="298" t="s">
        <v>137</v>
      </c>
    </row>
    <row r="9" spans="1:4" ht="39.75" customHeight="1">
      <c r="A9" s="3" t="s">
        <v>350</v>
      </c>
      <c r="B9" s="3" t="s">
        <v>294</v>
      </c>
      <c r="C9" s="3" t="s">
        <v>352</v>
      </c>
      <c r="D9" s="142" t="s">
        <v>660</v>
      </c>
    </row>
    <row r="10" spans="1:4" s="301" customFormat="1" ht="10.5" customHeight="1">
      <c r="A10" s="299">
        <v>1</v>
      </c>
      <c r="B10" s="299">
        <v>2</v>
      </c>
      <c r="C10" s="299">
        <v>3</v>
      </c>
      <c r="D10" s="300">
        <v>4</v>
      </c>
    </row>
    <row r="11" spans="1:4" s="303" customFormat="1" ht="18.75" customHeight="1">
      <c r="A11" s="302" t="s">
        <v>124</v>
      </c>
      <c r="B11" s="302"/>
      <c r="C11" s="302"/>
      <c r="D11" s="302"/>
    </row>
    <row r="12" spans="1:5" s="27" customFormat="1" ht="35.25" customHeight="1">
      <c r="A12" s="64" t="s">
        <v>487</v>
      </c>
      <c r="B12" s="5" t="s">
        <v>414</v>
      </c>
      <c r="C12" s="5" t="s">
        <v>31</v>
      </c>
      <c r="D12" s="117">
        <f>D13+D29+D34+D37+D49+D53+D56+D59+D51+D61</f>
        <v>382848.85739</v>
      </c>
      <c r="E12" s="40"/>
    </row>
    <row r="13" spans="1:5" s="19" customFormat="1" ht="30" customHeight="1">
      <c r="A13" s="55" t="s">
        <v>297</v>
      </c>
      <c r="B13" s="74" t="s">
        <v>417</v>
      </c>
      <c r="C13" s="74" t="s">
        <v>49</v>
      </c>
      <c r="D13" s="94">
        <f>D14+D15+D18+D21+D22+D23+D24+D25+D26+D27+D28</f>
        <v>259020.29267000002</v>
      </c>
      <c r="E13" s="304"/>
    </row>
    <row r="14" spans="1:4" s="39" customFormat="1" ht="16.5" customHeight="1">
      <c r="A14" s="17" t="s">
        <v>256</v>
      </c>
      <c r="B14" s="22" t="s">
        <v>417</v>
      </c>
      <c r="C14" s="22" t="s">
        <v>51</v>
      </c>
      <c r="D14" s="85">
        <v>700</v>
      </c>
    </row>
    <row r="15" spans="1:4" s="39" customFormat="1" ht="40.5" customHeight="1" hidden="1">
      <c r="A15" s="55" t="s">
        <v>585</v>
      </c>
      <c r="B15" s="74" t="s">
        <v>417</v>
      </c>
      <c r="C15" s="74" t="s">
        <v>586</v>
      </c>
      <c r="D15" s="94">
        <f>D16+D17</f>
        <v>0</v>
      </c>
    </row>
    <row r="16" spans="1:4" s="39" customFormat="1" ht="48.75" customHeight="1" hidden="1">
      <c r="A16" s="17" t="s">
        <v>631</v>
      </c>
      <c r="B16" s="22" t="s">
        <v>417</v>
      </c>
      <c r="C16" s="22" t="s">
        <v>587</v>
      </c>
      <c r="D16" s="85">
        <v>0</v>
      </c>
    </row>
    <row r="17" spans="1:4" s="39" customFormat="1" ht="54" customHeight="1" hidden="1">
      <c r="A17" s="17" t="s">
        <v>632</v>
      </c>
      <c r="B17" s="22" t="s">
        <v>417</v>
      </c>
      <c r="C17" s="22" t="s">
        <v>588</v>
      </c>
      <c r="D17" s="85"/>
    </row>
    <row r="18" spans="1:5" s="39" customFormat="1" ht="45" customHeight="1">
      <c r="A18" s="75" t="s">
        <v>676</v>
      </c>
      <c r="B18" s="87" t="s">
        <v>178</v>
      </c>
      <c r="C18" s="87"/>
      <c r="D18" s="88">
        <f>D19+D20</f>
        <v>325</v>
      </c>
      <c r="E18" s="145"/>
    </row>
    <row r="19" spans="1:4" s="39" customFormat="1" ht="46.5" customHeight="1" hidden="1">
      <c r="A19" s="17" t="s">
        <v>677</v>
      </c>
      <c r="B19" s="22" t="s">
        <v>178</v>
      </c>
      <c r="C19" s="22" t="s">
        <v>696</v>
      </c>
      <c r="D19" s="85"/>
    </row>
    <row r="20" spans="1:6" s="39" customFormat="1" ht="55.5" customHeight="1">
      <c r="A20" s="17" t="s">
        <v>678</v>
      </c>
      <c r="B20" s="22" t="s">
        <v>178</v>
      </c>
      <c r="C20" s="22" t="s">
        <v>750</v>
      </c>
      <c r="D20" s="85">
        <v>325</v>
      </c>
      <c r="F20" s="145"/>
    </row>
    <row r="21" spans="1:4" s="39" customFormat="1" ht="45.75" customHeight="1" hidden="1">
      <c r="A21" s="17" t="s">
        <v>678</v>
      </c>
      <c r="B21" s="22" t="s">
        <v>178</v>
      </c>
      <c r="C21" s="22" t="s">
        <v>697</v>
      </c>
      <c r="D21" s="85"/>
    </row>
    <row r="22" spans="1:4" s="39" customFormat="1" ht="51" customHeight="1">
      <c r="A22" s="17" t="s">
        <v>816</v>
      </c>
      <c r="B22" s="22" t="s">
        <v>417</v>
      </c>
      <c r="C22" s="22" t="s">
        <v>817</v>
      </c>
      <c r="D22" s="85">
        <v>50</v>
      </c>
    </row>
    <row r="23" spans="1:6" s="27" customFormat="1" ht="31.5" customHeight="1">
      <c r="A23" s="17" t="s">
        <v>374</v>
      </c>
      <c r="B23" s="22" t="s">
        <v>417</v>
      </c>
      <c r="C23" s="22" t="s">
        <v>52</v>
      </c>
      <c r="D23" s="85">
        <f>51698.3-34.287+5244.198-5301.225+3434.94967+52.425</f>
        <v>55094.36067000002</v>
      </c>
      <c r="F23" s="84"/>
    </row>
    <row r="24" spans="1:7" s="27" customFormat="1" ht="45" customHeight="1">
      <c r="A24" s="17" t="s">
        <v>110</v>
      </c>
      <c r="B24" s="22" t="s">
        <v>417</v>
      </c>
      <c r="C24" s="22" t="s">
        <v>63</v>
      </c>
      <c r="D24" s="85">
        <v>170492.432</v>
      </c>
      <c r="G24" s="84"/>
    </row>
    <row r="25" spans="1:4" s="27" customFormat="1" ht="33" customHeight="1">
      <c r="A25" s="17" t="s">
        <v>633</v>
      </c>
      <c r="B25" s="22" t="s">
        <v>417</v>
      </c>
      <c r="C25" s="22" t="s">
        <v>590</v>
      </c>
      <c r="D25" s="85">
        <v>7270.9</v>
      </c>
    </row>
    <row r="26" spans="1:4" s="27" customFormat="1" ht="48" customHeight="1">
      <c r="A26" s="17" t="s">
        <v>603</v>
      </c>
      <c r="B26" s="22" t="s">
        <v>417</v>
      </c>
      <c r="C26" s="22" t="s">
        <v>698</v>
      </c>
      <c r="D26" s="85">
        <v>2160</v>
      </c>
    </row>
    <row r="27" spans="1:4" s="27" customFormat="1" ht="48" customHeight="1">
      <c r="A27" s="17" t="s">
        <v>800</v>
      </c>
      <c r="B27" s="22" t="s">
        <v>417</v>
      </c>
      <c r="C27" s="22" t="s">
        <v>801</v>
      </c>
      <c r="D27" s="85">
        <f>18147.5-7270.9</f>
        <v>10876.6</v>
      </c>
    </row>
    <row r="28" spans="1:4" s="27" customFormat="1" ht="43.5" customHeight="1">
      <c r="A28" s="17" t="s">
        <v>794</v>
      </c>
      <c r="B28" s="22" t="s">
        <v>417</v>
      </c>
      <c r="C28" s="22" t="s">
        <v>802</v>
      </c>
      <c r="D28" s="85">
        <v>12051</v>
      </c>
    </row>
    <row r="29" spans="1:4" s="19" customFormat="1" ht="33" customHeight="1">
      <c r="A29" s="55" t="s">
        <v>298</v>
      </c>
      <c r="B29" s="74" t="s">
        <v>417</v>
      </c>
      <c r="C29" s="74" t="s">
        <v>44</v>
      </c>
      <c r="D29" s="94">
        <f>SUM(D30:D33)</f>
        <v>61590.355</v>
      </c>
    </row>
    <row r="30" spans="1:4" s="27" customFormat="1" ht="24.75" customHeight="1">
      <c r="A30" s="17" t="s">
        <v>299</v>
      </c>
      <c r="B30" s="22" t="s">
        <v>417</v>
      </c>
      <c r="C30" s="22" t="s">
        <v>45</v>
      </c>
      <c r="D30" s="85">
        <v>200</v>
      </c>
    </row>
    <row r="31" spans="1:5" s="27" customFormat="1" ht="30.75" customHeight="1">
      <c r="A31" s="17" t="s">
        <v>397</v>
      </c>
      <c r="B31" s="22" t="s">
        <v>417</v>
      </c>
      <c r="C31" s="22" t="s">
        <v>47</v>
      </c>
      <c r="D31" s="85">
        <v>20089.4</v>
      </c>
      <c r="E31" s="40"/>
    </row>
    <row r="32" spans="1:5" s="27" customFormat="1" ht="45" customHeight="1">
      <c r="A32" s="17" t="s">
        <v>111</v>
      </c>
      <c r="B32" s="22" t="s">
        <v>417</v>
      </c>
      <c r="C32" s="22" t="s">
        <v>48</v>
      </c>
      <c r="D32" s="85">
        <v>39967.356</v>
      </c>
      <c r="E32" s="40"/>
    </row>
    <row r="33" spans="1:5" s="27" customFormat="1" ht="58.5" customHeight="1">
      <c r="A33" s="17" t="s">
        <v>112</v>
      </c>
      <c r="B33" s="22" t="s">
        <v>417</v>
      </c>
      <c r="C33" s="22" t="s">
        <v>90</v>
      </c>
      <c r="D33" s="85">
        <v>1333.599</v>
      </c>
      <c r="E33" s="40"/>
    </row>
    <row r="34" spans="1:4" s="19" customFormat="1" ht="16.5" customHeight="1">
      <c r="A34" s="55" t="s">
        <v>300</v>
      </c>
      <c r="B34" s="74" t="s">
        <v>417</v>
      </c>
      <c r="C34" s="74" t="s">
        <v>53</v>
      </c>
      <c r="D34" s="94">
        <f>D35+D36</f>
        <v>1000</v>
      </c>
    </row>
    <row r="35" spans="1:4" s="27" customFormat="1" ht="16.5" customHeight="1">
      <c r="A35" s="17" t="s">
        <v>262</v>
      </c>
      <c r="B35" s="22" t="s">
        <v>417</v>
      </c>
      <c r="C35" s="22" t="s">
        <v>55</v>
      </c>
      <c r="D35" s="85">
        <v>250</v>
      </c>
    </row>
    <row r="36" spans="1:4" s="27" customFormat="1" ht="18.75" customHeight="1">
      <c r="A36" s="17" t="s">
        <v>257</v>
      </c>
      <c r="B36" s="22" t="s">
        <v>417</v>
      </c>
      <c r="C36" s="22" t="s">
        <v>56</v>
      </c>
      <c r="D36" s="85">
        <v>750</v>
      </c>
    </row>
    <row r="37" spans="1:4" s="19" customFormat="1" ht="17.25" customHeight="1">
      <c r="A37" s="55" t="s">
        <v>301</v>
      </c>
      <c r="B37" s="74" t="s">
        <v>417</v>
      </c>
      <c r="C37" s="74" t="s">
        <v>57</v>
      </c>
      <c r="D37" s="94">
        <f>D39+D40+D41+D42+D43+D46</f>
        <v>24875.65272</v>
      </c>
    </row>
    <row r="38" spans="1:4" s="27" customFormat="1" ht="30.75" customHeight="1" hidden="1">
      <c r="A38" s="17"/>
      <c r="B38" s="20"/>
      <c r="C38" s="20"/>
      <c r="D38" s="142"/>
    </row>
    <row r="39" spans="1:4" s="27" customFormat="1" ht="20.25" customHeight="1">
      <c r="A39" s="17" t="s">
        <v>128</v>
      </c>
      <c r="B39" s="22" t="s">
        <v>417</v>
      </c>
      <c r="C39" s="37" t="s">
        <v>59</v>
      </c>
      <c r="D39" s="85">
        <v>4610.3</v>
      </c>
    </row>
    <row r="40" spans="1:4" s="27" customFormat="1" ht="18.75" customHeight="1">
      <c r="A40" s="17" t="s">
        <v>129</v>
      </c>
      <c r="B40" s="22" t="s">
        <v>417</v>
      </c>
      <c r="C40" s="37" t="s">
        <v>60</v>
      </c>
      <c r="D40" s="85">
        <v>10498.5</v>
      </c>
    </row>
    <row r="41" spans="1:5" s="27" customFormat="1" ht="21" customHeight="1">
      <c r="A41" s="17" t="s">
        <v>250</v>
      </c>
      <c r="B41" s="22" t="s">
        <v>178</v>
      </c>
      <c r="C41" s="22" t="s">
        <v>61</v>
      </c>
      <c r="D41" s="85">
        <v>6578.3</v>
      </c>
      <c r="E41" s="40"/>
    </row>
    <row r="42" spans="1:5" s="27" customFormat="1" ht="21" customHeight="1">
      <c r="A42" s="17" t="s">
        <v>251</v>
      </c>
      <c r="B42" s="22" t="s">
        <v>178</v>
      </c>
      <c r="C42" s="22" t="s">
        <v>62</v>
      </c>
      <c r="D42" s="85">
        <v>3145.9</v>
      </c>
      <c r="E42" s="40"/>
    </row>
    <row r="43" spans="1:5" s="27" customFormat="1" ht="31.5" customHeight="1" hidden="1">
      <c r="A43" s="75" t="s">
        <v>679</v>
      </c>
      <c r="B43" s="87" t="s">
        <v>417</v>
      </c>
      <c r="C43" s="87"/>
      <c r="D43" s="88">
        <f>D44+D45</f>
        <v>0</v>
      </c>
      <c r="E43" s="40"/>
    </row>
    <row r="44" spans="1:5" s="27" customFormat="1" ht="42" customHeight="1" hidden="1">
      <c r="A44" s="17" t="s">
        <v>680</v>
      </c>
      <c r="B44" s="22" t="s">
        <v>417</v>
      </c>
      <c r="C44" s="22" t="s">
        <v>700</v>
      </c>
      <c r="D44" s="85"/>
      <c r="E44" s="84"/>
    </row>
    <row r="45" spans="1:5" s="27" customFormat="1" ht="59.25" customHeight="1" hidden="1">
      <c r="A45" s="17" t="s">
        <v>681</v>
      </c>
      <c r="B45" s="22" t="s">
        <v>417</v>
      </c>
      <c r="C45" s="22" t="s">
        <v>751</v>
      </c>
      <c r="D45" s="85"/>
      <c r="E45" s="84"/>
    </row>
    <row r="46" spans="1:5" s="27" customFormat="1" ht="44.25" customHeight="1">
      <c r="A46" s="75" t="s">
        <v>888</v>
      </c>
      <c r="B46" s="86" t="s">
        <v>417</v>
      </c>
      <c r="C46" s="86"/>
      <c r="D46" s="93">
        <f>D47</f>
        <v>42.65272</v>
      </c>
      <c r="E46" s="84"/>
    </row>
    <row r="47" spans="1:5" s="27" customFormat="1" ht="57.75" customHeight="1">
      <c r="A47" s="17" t="s">
        <v>890</v>
      </c>
      <c r="B47" s="22" t="s">
        <v>417</v>
      </c>
      <c r="C47" s="22" t="s">
        <v>889</v>
      </c>
      <c r="D47" s="85">
        <v>42.65272</v>
      </c>
      <c r="E47" s="84"/>
    </row>
    <row r="48" spans="1:5" s="27" customFormat="1" ht="62.25" customHeight="1">
      <c r="A48" s="17" t="s">
        <v>892</v>
      </c>
      <c r="B48" s="22" t="s">
        <v>417</v>
      </c>
      <c r="C48" s="22" t="s">
        <v>891</v>
      </c>
      <c r="D48" s="85">
        <v>0</v>
      </c>
      <c r="E48" s="84"/>
    </row>
    <row r="49" spans="1:5" s="19" customFormat="1" ht="17.25" customHeight="1">
      <c r="A49" s="55" t="s">
        <v>302</v>
      </c>
      <c r="B49" s="74" t="s">
        <v>417</v>
      </c>
      <c r="C49" s="74" t="s">
        <v>64</v>
      </c>
      <c r="D49" s="94">
        <f>D50</f>
        <v>30</v>
      </c>
      <c r="E49" s="106"/>
    </row>
    <row r="50" spans="1:4" s="41" customFormat="1" ht="17.25" customHeight="1">
      <c r="A50" s="17" t="s">
        <v>815</v>
      </c>
      <c r="B50" s="22" t="s">
        <v>417</v>
      </c>
      <c r="C50" s="22" t="s">
        <v>65</v>
      </c>
      <c r="D50" s="85">
        <v>30</v>
      </c>
    </row>
    <row r="51" spans="1:5" s="19" customFormat="1" ht="17.25" customHeight="1">
      <c r="A51" s="55" t="s">
        <v>466</v>
      </c>
      <c r="B51" s="74" t="s">
        <v>417</v>
      </c>
      <c r="C51" s="74" t="s">
        <v>66</v>
      </c>
      <c r="D51" s="94">
        <f>D52</f>
        <v>0</v>
      </c>
      <c r="E51" s="106"/>
    </row>
    <row r="52" spans="1:4" s="41" customFormat="1" ht="45" customHeight="1">
      <c r="A52" s="17" t="s">
        <v>748</v>
      </c>
      <c r="B52" s="22" t="s">
        <v>417</v>
      </c>
      <c r="C52" s="22" t="s">
        <v>67</v>
      </c>
      <c r="D52" s="85">
        <v>0</v>
      </c>
    </row>
    <row r="53" spans="1:5" s="19" customFormat="1" ht="18.75" customHeight="1">
      <c r="A53" s="55" t="s">
        <v>303</v>
      </c>
      <c r="B53" s="74" t="s">
        <v>417</v>
      </c>
      <c r="C53" s="74" t="s">
        <v>68</v>
      </c>
      <c r="D53" s="94">
        <f>D54+D55</f>
        <v>36099.557</v>
      </c>
      <c r="E53" s="106"/>
    </row>
    <row r="54" spans="1:4" s="27" customFormat="1" ht="31.5" customHeight="1">
      <c r="A54" s="17" t="s">
        <v>180</v>
      </c>
      <c r="B54" s="22" t="s">
        <v>417</v>
      </c>
      <c r="C54" s="22" t="s">
        <v>69</v>
      </c>
      <c r="D54" s="85">
        <f>33040.1</f>
        <v>33040.1</v>
      </c>
    </row>
    <row r="55" spans="1:4" s="27" customFormat="1" ht="42" customHeight="1">
      <c r="A55" s="17" t="s">
        <v>545</v>
      </c>
      <c r="B55" s="22" t="s">
        <v>417</v>
      </c>
      <c r="C55" s="22" t="s">
        <v>69</v>
      </c>
      <c r="D55" s="85">
        <v>3059.457</v>
      </c>
    </row>
    <row r="56" spans="1:5" s="19" customFormat="1" ht="17.25" customHeight="1">
      <c r="A56" s="55" t="s">
        <v>33</v>
      </c>
      <c r="B56" s="74" t="s">
        <v>417</v>
      </c>
      <c r="C56" s="74" t="s">
        <v>32</v>
      </c>
      <c r="D56" s="94">
        <f>D57+D58</f>
        <v>150</v>
      </c>
      <c r="E56" s="106"/>
    </row>
    <row r="57" spans="1:5" s="23" customFormat="1" ht="15.75" customHeight="1">
      <c r="A57" s="17" t="s">
        <v>406</v>
      </c>
      <c r="B57" s="13">
        <v>951</v>
      </c>
      <c r="C57" s="22" t="s">
        <v>35</v>
      </c>
      <c r="D57" s="85">
        <v>111</v>
      </c>
      <c r="E57" s="39"/>
    </row>
    <row r="58" spans="1:4" s="41" customFormat="1" ht="15.75" customHeight="1">
      <c r="A58" s="17" t="s">
        <v>342</v>
      </c>
      <c r="B58" s="13">
        <v>951</v>
      </c>
      <c r="C58" s="22" t="s">
        <v>84</v>
      </c>
      <c r="D58" s="85">
        <v>39</v>
      </c>
    </row>
    <row r="59" spans="1:5" s="19" customFormat="1" ht="17.25" customHeight="1">
      <c r="A59" s="55" t="s">
        <v>484</v>
      </c>
      <c r="B59" s="74" t="s">
        <v>178</v>
      </c>
      <c r="C59" s="74" t="s">
        <v>37</v>
      </c>
      <c r="D59" s="94">
        <f>D60</f>
        <v>83</v>
      </c>
      <c r="E59" s="106"/>
    </row>
    <row r="60" spans="1:5" s="27" customFormat="1" ht="18" customHeight="1">
      <c r="A60" s="17" t="s">
        <v>333</v>
      </c>
      <c r="B60" s="22" t="s">
        <v>178</v>
      </c>
      <c r="C60" s="22" t="s">
        <v>699</v>
      </c>
      <c r="D60" s="85">
        <v>83</v>
      </c>
      <c r="E60" s="51"/>
    </row>
    <row r="61" spans="1:5" s="27" customFormat="1" ht="47.25" customHeight="1" hidden="1">
      <c r="A61" s="55" t="s">
        <v>505</v>
      </c>
      <c r="B61" s="74" t="s">
        <v>417</v>
      </c>
      <c r="C61" s="74" t="s">
        <v>49</v>
      </c>
      <c r="D61" s="94">
        <f>D62</f>
        <v>0</v>
      </c>
      <c r="E61" s="51"/>
    </row>
    <row r="62" spans="1:5" s="27" customFormat="1" ht="29.25" customHeight="1" hidden="1">
      <c r="A62" s="17" t="s">
        <v>506</v>
      </c>
      <c r="B62" s="22" t="s">
        <v>417</v>
      </c>
      <c r="C62" s="22" t="s">
        <v>50</v>
      </c>
      <c r="D62" s="85">
        <v>0</v>
      </c>
      <c r="E62" s="51"/>
    </row>
    <row r="63" spans="1:4" s="27" customFormat="1" ht="49.5" customHeight="1">
      <c r="A63" s="79" t="s">
        <v>488</v>
      </c>
      <c r="B63" s="86" t="s">
        <v>414</v>
      </c>
      <c r="C63" s="86" t="s">
        <v>71</v>
      </c>
      <c r="D63" s="93">
        <f>D64+D65+D66</f>
        <v>600</v>
      </c>
    </row>
    <row r="64" spans="1:4" s="27" customFormat="1" ht="14.25" customHeight="1">
      <c r="A64" s="17" t="s">
        <v>115</v>
      </c>
      <c r="B64" s="22" t="s">
        <v>417</v>
      </c>
      <c r="C64" s="22" t="s">
        <v>73</v>
      </c>
      <c r="D64" s="85">
        <v>380</v>
      </c>
    </row>
    <row r="65" spans="1:4" s="27" customFormat="1" ht="15" customHeight="1">
      <c r="A65" s="17" t="s">
        <v>177</v>
      </c>
      <c r="B65" s="22" t="s">
        <v>417</v>
      </c>
      <c r="C65" s="22" t="s">
        <v>74</v>
      </c>
      <c r="D65" s="85">
        <v>218</v>
      </c>
    </row>
    <row r="66" spans="1:4" s="27" customFormat="1" ht="15" customHeight="1">
      <c r="A66" s="17" t="s">
        <v>341</v>
      </c>
      <c r="B66" s="22" t="s">
        <v>178</v>
      </c>
      <c r="C66" s="22" t="s">
        <v>85</v>
      </c>
      <c r="D66" s="85">
        <v>2</v>
      </c>
    </row>
    <row r="67" spans="1:5" s="306" customFormat="1" ht="48" customHeight="1" hidden="1">
      <c r="A67" s="105" t="s">
        <v>438</v>
      </c>
      <c r="B67" s="86" t="s">
        <v>178</v>
      </c>
      <c r="C67" s="80" t="s">
        <v>30</v>
      </c>
      <c r="D67" s="93">
        <f>D68+D69</f>
        <v>0</v>
      </c>
      <c r="E67" s="305"/>
    </row>
    <row r="68" spans="1:5" s="307" customFormat="1" ht="48.75" customHeight="1" hidden="1">
      <c r="A68" s="99" t="s">
        <v>113</v>
      </c>
      <c r="B68" s="22" t="s">
        <v>178</v>
      </c>
      <c r="C68" s="37" t="s">
        <v>468</v>
      </c>
      <c r="D68" s="85"/>
      <c r="E68" s="39"/>
    </row>
    <row r="69" spans="1:5" s="42" customFormat="1" ht="48.75" customHeight="1" hidden="1">
      <c r="A69" s="17" t="s">
        <v>114</v>
      </c>
      <c r="B69" s="22" t="s">
        <v>178</v>
      </c>
      <c r="C69" s="37" t="s">
        <v>99</v>
      </c>
      <c r="D69" s="85"/>
      <c r="E69" s="27"/>
    </row>
    <row r="70" spans="1:5" s="31" customFormat="1" ht="33.75" customHeight="1">
      <c r="A70" s="79" t="s">
        <v>489</v>
      </c>
      <c r="B70" s="86" t="s">
        <v>414</v>
      </c>
      <c r="C70" s="86" t="s">
        <v>38</v>
      </c>
      <c r="D70" s="93">
        <f>D71+D73+D74</f>
        <v>708</v>
      </c>
      <c r="E70" s="41"/>
    </row>
    <row r="71" spans="1:4" s="41" customFormat="1" ht="15" customHeight="1">
      <c r="A71" s="17" t="s">
        <v>116</v>
      </c>
      <c r="B71" s="22" t="s">
        <v>417</v>
      </c>
      <c r="C71" s="22" t="s">
        <v>75</v>
      </c>
      <c r="D71" s="85">
        <v>708</v>
      </c>
    </row>
    <row r="72" spans="1:4" s="41" customFormat="1" ht="15" customHeight="1" hidden="1">
      <c r="A72" s="17" t="s">
        <v>341</v>
      </c>
      <c r="B72" s="22" t="s">
        <v>178</v>
      </c>
      <c r="C72" s="22" t="s">
        <v>346</v>
      </c>
      <c r="D72" s="85"/>
    </row>
    <row r="73" spans="1:4" s="41" customFormat="1" ht="15" customHeight="1" hidden="1">
      <c r="A73" s="17" t="s">
        <v>709</v>
      </c>
      <c r="B73" s="22" t="s">
        <v>178</v>
      </c>
      <c r="C73" s="22" t="s">
        <v>40</v>
      </c>
      <c r="D73" s="85"/>
    </row>
    <row r="74" spans="1:4" s="41" customFormat="1" ht="15" customHeight="1" hidden="1">
      <c r="A74" s="17" t="s">
        <v>341</v>
      </c>
      <c r="B74" s="22" t="s">
        <v>178</v>
      </c>
      <c r="C74" s="22" t="s">
        <v>701</v>
      </c>
      <c r="D74" s="85"/>
    </row>
    <row r="75" spans="1:6" s="31" customFormat="1" ht="32.25" customHeight="1">
      <c r="A75" s="79" t="s">
        <v>483</v>
      </c>
      <c r="B75" s="86" t="s">
        <v>414</v>
      </c>
      <c r="C75" s="86" t="s">
        <v>91</v>
      </c>
      <c r="D75" s="93">
        <f>D76+D80+D81+D88+D91</f>
        <v>413.02031</v>
      </c>
      <c r="E75" s="91"/>
      <c r="F75" s="308"/>
    </row>
    <row r="76" spans="1:5" s="41" customFormat="1" ht="15.75" customHeight="1">
      <c r="A76" s="17" t="s">
        <v>295</v>
      </c>
      <c r="B76" s="22" t="s">
        <v>178</v>
      </c>
      <c r="C76" s="22" t="s">
        <v>92</v>
      </c>
      <c r="D76" s="85">
        <v>150</v>
      </c>
      <c r="E76" s="91"/>
    </row>
    <row r="77" spans="1:5" s="31" customFormat="1" ht="46.5" customHeight="1" hidden="1">
      <c r="A77" s="79" t="s">
        <v>131</v>
      </c>
      <c r="B77" s="22" t="s">
        <v>634</v>
      </c>
      <c r="C77" s="22" t="s">
        <v>767</v>
      </c>
      <c r="D77" s="93">
        <f>D78</f>
        <v>0</v>
      </c>
      <c r="E77" s="41"/>
    </row>
    <row r="78" spans="1:5" s="43" customFormat="1" ht="15" customHeight="1" hidden="1">
      <c r="A78" s="79" t="s">
        <v>327</v>
      </c>
      <c r="B78" s="22" t="s">
        <v>635</v>
      </c>
      <c r="C78" s="22" t="s">
        <v>768</v>
      </c>
      <c r="D78" s="93">
        <f>D79</f>
        <v>0</v>
      </c>
      <c r="E78" s="89"/>
    </row>
    <row r="79" spans="1:4" s="41" customFormat="1" ht="60.75" customHeight="1" hidden="1">
      <c r="A79" s="17" t="s">
        <v>296</v>
      </c>
      <c r="B79" s="22" t="s">
        <v>636</v>
      </c>
      <c r="C79" s="22" t="s">
        <v>769</v>
      </c>
      <c r="D79" s="85">
        <v>0</v>
      </c>
    </row>
    <row r="80" spans="1:4" s="41" customFormat="1" ht="30.75" customHeight="1" hidden="1">
      <c r="A80" s="17" t="s">
        <v>770</v>
      </c>
      <c r="B80" s="22" t="s">
        <v>178</v>
      </c>
      <c r="C80" s="22" t="s">
        <v>766</v>
      </c>
      <c r="D80" s="85">
        <v>0</v>
      </c>
    </row>
    <row r="81" spans="1:4" s="41" customFormat="1" ht="27.75" customHeight="1">
      <c r="A81" s="75" t="s">
        <v>608</v>
      </c>
      <c r="B81" s="87" t="s">
        <v>178</v>
      </c>
      <c r="C81" s="73"/>
      <c r="D81" s="88">
        <f>SUM(D82:D87)</f>
        <v>153</v>
      </c>
    </row>
    <row r="82" spans="1:5" s="41" customFormat="1" ht="48" customHeight="1" hidden="1">
      <c r="A82" s="17" t="s">
        <v>637</v>
      </c>
      <c r="B82" s="22" t="s">
        <v>178</v>
      </c>
      <c r="C82" s="37" t="s">
        <v>609</v>
      </c>
      <c r="D82" s="85">
        <v>0</v>
      </c>
      <c r="E82" s="90"/>
    </row>
    <row r="83" spans="1:5" s="41" customFormat="1" ht="19.5" customHeight="1" hidden="1">
      <c r="A83" s="17" t="s">
        <v>730</v>
      </c>
      <c r="B83" s="22" t="s">
        <v>178</v>
      </c>
      <c r="C83" s="37" t="s">
        <v>609</v>
      </c>
      <c r="D83" s="85"/>
      <c r="E83" s="90"/>
    </row>
    <row r="84" spans="1:4" s="41" customFormat="1" ht="17.25" customHeight="1" hidden="1">
      <c r="A84" s="17" t="s">
        <v>730</v>
      </c>
      <c r="B84" s="22" t="s">
        <v>178</v>
      </c>
      <c r="C84" s="37" t="s">
        <v>611</v>
      </c>
      <c r="D84" s="85"/>
    </row>
    <row r="85" spans="1:4" s="41" customFormat="1" ht="18" customHeight="1" hidden="1">
      <c r="A85" s="17" t="s">
        <v>730</v>
      </c>
      <c r="B85" s="22" t="s">
        <v>417</v>
      </c>
      <c r="C85" s="37" t="s">
        <v>609</v>
      </c>
      <c r="D85" s="85"/>
    </row>
    <row r="86" spans="1:4" s="41" customFormat="1" ht="21" customHeight="1">
      <c r="A86" s="17" t="s">
        <v>731</v>
      </c>
      <c r="B86" s="22" t="s">
        <v>178</v>
      </c>
      <c r="C86" s="37" t="s">
        <v>611</v>
      </c>
      <c r="D86" s="85">
        <v>153</v>
      </c>
    </row>
    <row r="87" spans="1:4" s="41" customFormat="1" ht="18" customHeight="1" hidden="1">
      <c r="A87" s="17" t="s">
        <v>731</v>
      </c>
      <c r="B87" s="22" t="s">
        <v>634</v>
      </c>
      <c r="C87" s="37" t="s">
        <v>611</v>
      </c>
      <c r="D87" s="85"/>
    </row>
    <row r="88" spans="1:4" s="41" customFormat="1" ht="28.5" customHeight="1">
      <c r="A88" s="75" t="s">
        <v>729</v>
      </c>
      <c r="B88" s="22" t="s">
        <v>178</v>
      </c>
      <c r="C88" s="37"/>
      <c r="D88" s="88">
        <f>D89+D90</f>
        <v>110.02031</v>
      </c>
    </row>
    <row r="89" spans="1:5" s="41" customFormat="1" ht="17.25" customHeight="1">
      <c r="A89" s="17" t="s">
        <v>759</v>
      </c>
      <c r="B89" s="22" t="s">
        <v>178</v>
      </c>
      <c r="C89" s="37" t="s">
        <v>732</v>
      </c>
      <c r="D89" s="85">
        <v>108.931</v>
      </c>
      <c r="E89" s="318"/>
    </row>
    <row r="90" spans="1:5" s="41" customFormat="1" ht="17.25" customHeight="1">
      <c r="A90" s="17" t="s">
        <v>760</v>
      </c>
      <c r="B90" s="22" t="s">
        <v>178</v>
      </c>
      <c r="C90" s="37" t="s">
        <v>733</v>
      </c>
      <c r="D90" s="85">
        <v>1.08931</v>
      </c>
      <c r="E90" s="318"/>
    </row>
    <row r="91" spans="1:4" s="41" customFormat="1" ht="30" customHeight="1" hidden="1">
      <c r="A91" s="75" t="s">
        <v>771</v>
      </c>
      <c r="B91" s="22" t="s">
        <v>178</v>
      </c>
      <c r="C91" s="73"/>
      <c r="D91" s="88">
        <f>D92+D93</f>
        <v>0</v>
      </c>
    </row>
    <row r="92" spans="1:4" s="41" customFormat="1" ht="43.5" customHeight="1" hidden="1">
      <c r="A92" s="17" t="s">
        <v>776</v>
      </c>
      <c r="B92" s="22" t="s">
        <v>178</v>
      </c>
      <c r="C92" s="37" t="s">
        <v>772</v>
      </c>
      <c r="D92" s="85"/>
    </row>
    <row r="93" spans="1:4" s="41" customFormat="1" ht="57.75" customHeight="1" hidden="1">
      <c r="A93" s="17" t="s">
        <v>774</v>
      </c>
      <c r="B93" s="22" t="s">
        <v>178</v>
      </c>
      <c r="C93" s="37" t="s">
        <v>775</v>
      </c>
      <c r="D93" s="85"/>
    </row>
    <row r="94" spans="1:5" s="309" customFormat="1" ht="35.25" customHeight="1">
      <c r="A94" s="79" t="s">
        <v>859</v>
      </c>
      <c r="B94" s="86" t="s">
        <v>414</v>
      </c>
      <c r="C94" s="86" t="s">
        <v>87</v>
      </c>
      <c r="D94" s="93">
        <f>D95</f>
        <v>200</v>
      </c>
      <c r="E94" s="41"/>
    </row>
    <row r="95" spans="1:5" s="43" customFormat="1" ht="28.5" customHeight="1">
      <c r="A95" s="17" t="s">
        <v>206</v>
      </c>
      <c r="B95" s="22" t="s">
        <v>178</v>
      </c>
      <c r="C95" s="22" t="s">
        <v>88</v>
      </c>
      <c r="D95" s="85">
        <v>200</v>
      </c>
      <c r="E95" s="89"/>
    </row>
    <row r="96" spans="1:6" s="43" customFormat="1" ht="32.25" customHeight="1">
      <c r="A96" s="79" t="s">
        <v>490</v>
      </c>
      <c r="B96" s="86" t="s">
        <v>414</v>
      </c>
      <c r="C96" s="80" t="s">
        <v>76</v>
      </c>
      <c r="D96" s="93">
        <f>D97+D101+D104+D105+D108+D111+D113+D116</f>
        <v>9497.202019999999</v>
      </c>
      <c r="E96" s="305"/>
      <c r="F96" s="310"/>
    </row>
    <row r="97" spans="1:5" s="41" customFormat="1" ht="34.5" customHeight="1">
      <c r="A97" s="75" t="s">
        <v>541</v>
      </c>
      <c r="B97" s="22" t="s">
        <v>178</v>
      </c>
      <c r="C97" s="73" t="s">
        <v>78</v>
      </c>
      <c r="D97" s="88">
        <f>D99+D100</f>
        <v>5199.8</v>
      </c>
      <c r="E97" s="47"/>
    </row>
    <row r="98" spans="1:4" s="41" customFormat="1" ht="15" customHeight="1" hidden="1">
      <c r="A98" s="17" t="s">
        <v>220</v>
      </c>
      <c r="B98" s="22" t="s">
        <v>823</v>
      </c>
      <c r="C98" s="37" t="s">
        <v>221</v>
      </c>
      <c r="D98" s="85"/>
    </row>
    <row r="99" spans="1:6" s="41" customFormat="1" ht="15" customHeight="1">
      <c r="A99" s="17" t="s">
        <v>546</v>
      </c>
      <c r="B99" s="22" t="s">
        <v>178</v>
      </c>
      <c r="C99" s="37" t="s">
        <v>79</v>
      </c>
      <c r="D99" s="85">
        <f>3604.8-25</f>
        <v>3579.8</v>
      </c>
      <c r="F99" s="91"/>
    </row>
    <row r="100" spans="1:4" s="41" customFormat="1" ht="27" customHeight="1">
      <c r="A100" s="17" t="s">
        <v>117</v>
      </c>
      <c r="B100" s="22" t="s">
        <v>178</v>
      </c>
      <c r="C100" s="37" t="s">
        <v>97</v>
      </c>
      <c r="D100" s="85">
        <f>1101.5+518.5</f>
        <v>1620</v>
      </c>
    </row>
    <row r="101" spans="1:4" s="41" customFormat="1" ht="34.5" customHeight="1">
      <c r="A101" s="55" t="s">
        <v>593</v>
      </c>
      <c r="B101" s="74" t="s">
        <v>178</v>
      </c>
      <c r="C101" s="59" t="s">
        <v>638</v>
      </c>
      <c r="D101" s="94">
        <f>D102+D103</f>
        <v>25</v>
      </c>
    </row>
    <row r="102" spans="1:5" s="41" customFormat="1" ht="42.75" customHeight="1" hidden="1">
      <c r="A102" s="17" t="s">
        <v>594</v>
      </c>
      <c r="B102" s="22" t="s">
        <v>824</v>
      </c>
      <c r="C102" s="37" t="s">
        <v>595</v>
      </c>
      <c r="D102" s="85"/>
      <c r="E102" s="90"/>
    </row>
    <row r="103" spans="1:5" s="41" customFormat="1" ht="64.5" customHeight="1">
      <c r="A103" s="17" t="s">
        <v>639</v>
      </c>
      <c r="B103" s="22" t="s">
        <v>178</v>
      </c>
      <c r="C103" s="37" t="s">
        <v>596</v>
      </c>
      <c r="D103" s="85">
        <v>25</v>
      </c>
      <c r="E103" s="91"/>
    </row>
    <row r="104" spans="1:5" s="41" customFormat="1" ht="61.5" customHeight="1" hidden="1">
      <c r="A104" s="17" t="s">
        <v>790</v>
      </c>
      <c r="B104" s="22" t="s">
        <v>178</v>
      </c>
      <c r="C104" s="37" t="s">
        <v>818</v>
      </c>
      <c r="D104" s="85">
        <v>0</v>
      </c>
      <c r="E104" s="91"/>
    </row>
    <row r="105" spans="1:4" s="41" customFormat="1" ht="44.25" customHeight="1">
      <c r="A105" s="75" t="s">
        <v>542</v>
      </c>
      <c r="B105" s="87" t="s">
        <v>178</v>
      </c>
      <c r="C105" s="73" t="s">
        <v>80</v>
      </c>
      <c r="D105" s="88">
        <f>D107</f>
        <v>2178.2</v>
      </c>
    </row>
    <row r="106" spans="1:4" s="41" customFormat="1" ht="15" customHeight="1" hidden="1">
      <c r="A106" s="17" t="s">
        <v>223</v>
      </c>
      <c r="B106" s="22" t="s">
        <v>825</v>
      </c>
      <c r="C106" s="37" t="s">
        <v>224</v>
      </c>
      <c r="D106" s="85"/>
    </row>
    <row r="107" spans="1:4" s="41" customFormat="1" ht="15" customHeight="1">
      <c r="A107" s="17" t="s">
        <v>214</v>
      </c>
      <c r="B107" s="22" t="s">
        <v>178</v>
      </c>
      <c r="C107" s="37" t="s">
        <v>80</v>
      </c>
      <c r="D107" s="85">
        <v>2178.2</v>
      </c>
    </row>
    <row r="108" spans="1:5" s="41" customFormat="1" ht="30" customHeight="1">
      <c r="A108" s="55" t="s">
        <v>597</v>
      </c>
      <c r="B108" s="74" t="s">
        <v>178</v>
      </c>
      <c r="C108" s="59" t="s">
        <v>598</v>
      </c>
      <c r="D108" s="94">
        <f>D109+D110</f>
        <v>169.70202</v>
      </c>
      <c r="E108" s="91"/>
    </row>
    <row r="109" spans="1:5" s="41" customFormat="1" ht="44.25" customHeight="1">
      <c r="A109" s="17" t="s">
        <v>640</v>
      </c>
      <c r="B109" s="22" t="s">
        <v>178</v>
      </c>
      <c r="C109" s="37" t="s">
        <v>599</v>
      </c>
      <c r="D109" s="85">
        <v>168.005</v>
      </c>
      <c r="E109" s="90"/>
    </row>
    <row r="110" spans="1:5" s="41" customFormat="1" ht="54" customHeight="1">
      <c r="A110" s="17" t="s">
        <v>641</v>
      </c>
      <c r="B110" s="22" t="s">
        <v>178</v>
      </c>
      <c r="C110" s="37" t="s">
        <v>600</v>
      </c>
      <c r="D110" s="85">
        <v>1.69702</v>
      </c>
      <c r="E110" s="91"/>
    </row>
    <row r="111" spans="1:4" s="41" customFormat="1" ht="54.75" customHeight="1">
      <c r="A111" s="75" t="s">
        <v>543</v>
      </c>
      <c r="B111" s="87" t="s">
        <v>178</v>
      </c>
      <c r="C111" s="73" t="s">
        <v>81</v>
      </c>
      <c r="D111" s="88">
        <f>D112</f>
        <v>1026.6</v>
      </c>
    </row>
    <row r="112" spans="1:4" s="41" customFormat="1" ht="16.5" customHeight="1">
      <c r="A112" s="17" t="s">
        <v>214</v>
      </c>
      <c r="B112" s="22" t="s">
        <v>178</v>
      </c>
      <c r="C112" s="37" t="s">
        <v>81</v>
      </c>
      <c r="D112" s="85">
        <v>1026.6</v>
      </c>
    </row>
    <row r="113" spans="1:5" s="27" customFormat="1" ht="42" customHeight="1" hidden="1">
      <c r="A113" s="75" t="s">
        <v>612</v>
      </c>
      <c r="B113" s="87" t="s">
        <v>178</v>
      </c>
      <c r="C113" s="87"/>
      <c r="D113" s="88">
        <f>D114+D115</f>
        <v>0</v>
      </c>
      <c r="E113" s="40"/>
    </row>
    <row r="114" spans="1:5" s="27" customFormat="1" ht="44.25" customHeight="1" hidden="1">
      <c r="A114" s="17" t="s">
        <v>665</v>
      </c>
      <c r="B114" s="87" t="s">
        <v>178</v>
      </c>
      <c r="C114" s="22" t="s">
        <v>739</v>
      </c>
      <c r="D114" s="85"/>
      <c r="E114" s="40"/>
    </row>
    <row r="115" spans="1:5" s="27" customFormat="1" ht="54" customHeight="1" hidden="1">
      <c r="A115" s="17" t="s">
        <v>666</v>
      </c>
      <c r="B115" s="87" t="s">
        <v>178</v>
      </c>
      <c r="C115" s="22" t="s">
        <v>740</v>
      </c>
      <c r="D115" s="85"/>
      <c r="E115" s="40"/>
    </row>
    <row r="116" spans="1:5" s="41" customFormat="1" ht="21" customHeight="1">
      <c r="A116" s="75" t="s">
        <v>548</v>
      </c>
      <c r="B116" s="87" t="s">
        <v>178</v>
      </c>
      <c r="C116" s="73" t="s">
        <v>76</v>
      </c>
      <c r="D116" s="88">
        <f>D117+D130</f>
        <v>897.9</v>
      </c>
      <c r="E116" s="91"/>
    </row>
    <row r="117" spans="1:4" s="41" customFormat="1" ht="30.75" customHeight="1">
      <c r="A117" s="17" t="s">
        <v>547</v>
      </c>
      <c r="B117" s="22" t="s">
        <v>178</v>
      </c>
      <c r="C117" s="37" t="s">
        <v>82</v>
      </c>
      <c r="D117" s="85">
        <v>897.9</v>
      </c>
    </row>
    <row r="118" spans="1:5" s="43" customFormat="1" ht="29.25" customHeight="1" hidden="1">
      <c r="A118" s="79" t="s">
        <v>431</v>
      </c>
      <c r="B118" s="22" t="s">
        <v>830</v>
      </c>
      <c r="C118" s="80" t="s">
        <v>217</v>
      </c>
      <c r="D118" s="93"/>
      <c r="E118" s="89"/>
    </row>
    <row r="119" spans="1:4" s="41" customFormat="1" ht="18" customHeight="1" hidden="1">
      <c r="A119" s="17" t="s">
        <v>219</v>
      </c>
      <c r="B119" s="22" t="s">
        <v>831</v>
      </c>
      <c r="C119" s="37" t="s">
        <v>218</v>
      </c>
      <c r="D119" s="85"/>
    </row>
    <row r="120" spans="1:4" s="41" customFormat="1" ht="16.5" customHeight="1" hidden="1">
      <c r="A120" s="17" t="s">
        <v>220</v>
      </c>
      <c r="B120" s="22" t="s">
        <v>832</v>
      </c>
      <c r="C120" s="37" t="s">
        <v>221</v>
      </c>
      <c r="D120" s="85"/>
    </row>
    <row r="121" spans="1:4" s="41" customFormat="1" ht="18.75" customHeight="1" hidden="1">
      <c r="A121" s="17" t="s">
        <v>214</v>
      </c>
      <c r="B121" s="22" t="s">
        <v>833</v>
      </c>
      <c r="C121" s="37" t="s">
        <v>222</v>
      </c>
      <c r="D121" s="85"/>
    </row>
    <row r="122" spans="1:4" s="41" customFormat="1" ht="15" customHeight="1" hidden="1">
      <c r="A122" s="17" t="s">
        <v>225</v>
      </c>
      <c r="B122" s="22" t="s">
        <v>834</v>
      </c>
      <c r="C122" s="37" t="s">
        <v>226</v>
      </c>
      <c r="D122" s="85"/>
    </row>
    <row r="123" spans="1:4" s="41" customFormat="1" ht="13.5" customHeight="1" hidden="1">
      <c r="A123" s="17" t="s">
        <v>227</v>
      </c>
      <c r="B123" s="22" t="s">
        <v>835</v>
      </c>
      <c r="C123" s="37" t="s">
        <v>228</v>
      </c>
      <c r="D123" s="85"/>
    </row>
    <row r="124" spans="1:4" s="41" customFormat="1" ht="16.5" customHeight="1" hidden="1">
      <c r="A124" s="17" t="s">
        <v>214</v>
      </c>
      <c r="B124" s="22" t="s">
        <v>836</v>
      </c>
      <c r="C124" s="37" t="s">
        <v>229</v>
      </c>
      <c r="D124" s="85"/>
    </row>
    <row r="125" spans="1:4" s="41" customFormat="1" ht="0.75" customHeight="1" hidden="1">
      <c r="A125" s="46" t="s">
        <v>9</v>
      </c>
      <c r="B125" s="22" t="s">
        <v>837</v>
      </c>
      <c r="C125" s="37" t="s">
        <v>8</v>
      </c>
      <c r="D125" s="85"/>
    </row>
    <row r="126" spans="1:4" s="41" customFormat="1" ht="25.5" customHeight="1" hidden="1">
      <c r="A126" s="79" t="s">
        <v>327</v>
      </c>
      <c r="B126" s="22" t="s">
        <v>838</v>
      </c>
      <c r="C126" s="37" t="s">
        <v>8</v>
      </c>
      <c r="D126" s="85"/>
    </row>
    <row r="127" spans="1:4" s="41" customFormat="1" ht="54.75" customHeight="1" hidden="1">
      <c r="A127" s="79" t="s">
        <v>138</v>
      </c>
      <c r="B127" s="22" t="s">
        <v>839</v>
      </c>
      <c r="C127" s="37" t="s">
        <v>325</v>
      </c>
      <c r="D127" s="85"/>
    </row>
    <row r="128" spans="1:4" s="41" customFormat="1" ht="16.5" customHeight="1" hidden="1">
      <c r="A128" s="79" t="s">
        <v>327</v>
      </c>
      <c r="B128" s="22" t="s">
        <v>840</v>
      </c>
      <c r="C128" s="37" t="s">
        <v>325</v>
      </c>
      <c r="D128" s="85"/>
    </row>
    <row r="129" spans="1:4" s="41" customFormat="1" ht="16.5" customHeight="1" hidden="1">
      <c r="A129" s="79" t="s">
        <v>344</v>
      </c>
      <c r="B129" s="22" t="s">
        <v>841</v>
      </c>
      <c r="C129" s="37" t="s">
        <v>8</v>
      </c>
      <c r="D129" s="85"/>
    </row>
    <row r="130" spans="1:4" s="41" customFormat="1" ht="45.75" customHeight="1" hidden="1">
      <c r="A130" s="17" t="s">
        <v>545</v>
      </c>
      <c r="B130" s="22" t="s">
        <v>842</v>
      </c>
      <c r="C130" s="37" t="s">
        <v>507</v>
      </c>
      <c r="D130" s="85">
        <v>0</v>
      </c>
    </row>
    <row r="131" spans="1:4" s="41" customFormat="1" ht="33" customHeight="1" hidden="1">
      <c r="A131" s="79" t="s">
        <v>439</v>
      </c>
      <c r="B131" s="22" t="s">
        <v>843</v>
      </c>
      <c r="C131" s="80" t="s">
        <v>41</v>
      </c>
      <c r="D131" s="93">
        <f>D132+D133+D134</f>
        <v>0</v>
      </c>
    </row>
    <row r="132" spans="1:4" s="41" customFormat="1" ht="17.25" customHeight="1" hidden="1">
      <c r="A132" s="17" t="s">
        <v>118</v>
      </c>
      <c r="B132" s="22" t="s">
        <v>844</v>
      </c>
      <c r="C132" s="37" t="s">
        <v>535</v>
      </c>
      <c r="D132" s="85">
        <v>0</v>
      </c>
    </row>
    <row r="133" spans="1:4" s="41" customFormat="1" ht="19.5" customHeight="1" hidden="1">
      <c r="A133" s="17" t="s">
        <v>537</v>
      </c>
      <c r="B133" s="22" t="s">
        <v>845</v>
      </c>
      <c r="C133" s="37" t="s">
        <v>536</v>
      </c>
      <c r="D133" s="85"/>
    </row>
    <row r="134" spans="1:4" s="41" customFormat="1" ht="33" customHeight="1" hidden="1">
      <c r="A134" s="17" t="s">
        <v>513</v>
      </c>
      <c r="B134" s="22" t="s">
        <v>846</v>
      </c>
      <c r="C134" s="37" t="s">
        <v>504</v>
      </c>
      <c r="D134" s="85"/>
    </row>
    <row r="135" spans="1:4" s="41" customFormat="1" ht="45" customHeight="1" hidden="1">
      <c r="A135" s="79" t="s">
        <v>485</v>
      </c>
      <c r="B135" s="22" t="s">
        <v>847</v>
      </c>
      <c r="C135" s="86" t="s">
        <v>473</v>
      </c>
      <c r="D135" s="93">
        <f>D136</f>
        <v>0</v>
      </c>
    </row>
    <row r="136" spans="1:4" s="41" customFormat="1" ht="30" customHeight="1" hidden="1">
      <c r="A136" s="17" t="s">
        <v>721</v>
      </c>
      <c r="B136" s="22" t="s">
        <v>848</v>
      </c>
      <c r="C136" s="37" t="s">
        <v>474</v>
      </c>
      <c r="D136" s="85">
        <v>0</v>
      </c>
    </row>
    <row r="137" spans="1:5" s="41" customFormat="1" ht="62.25" customHeight="1">
      <c r="A137" s="79" t="s">
        <v>499</v>
      </c>
      <c r="B137" s="86" t="s">
        <v>414</v>
      </c>
      <c r="C137" s="86" t="s">
        <v>475</v>
      </c>
      <c r="D137" s="93">
        <f>SUM(D138:D145)</f>
        <v>17600</v>
      </c>
      <c r="E137" s="50"/>
    </row>
    <row r="138" spans="1:5" s="41" customFormat="1" ht="30.75" customHeight="1">
      <c r="A138" s="17" t="s">
        <v>43</v>
      </c>
      <c r="B138" s="22" t="s">
        <v>178</v>
      </c>
      <c r="C138" s="37" t="s">
        <v>496</v>
      </c>
      <c r="D138" s="85">
        <v>2300</v>
      </c>
      <c r="E138" s="50"/>
    </row>
    <row r="139" spans="1:5" s="41" customFormat="1" ht="15.75" customHeight="1" hidden="1">
      <c r="A139" s="46" t="s">
        <v>686</v>
      </c>
      <c r="B139" s="22" t="s">
        <v>849</v>
      </c>
      <c r="C139" s="37" t="s">
        <v>687</v>
      </c>
      <c r="D139" s="85">
        <v>0</v>
      </c>
      <c r="E139" s="50"/>
    </row>
    <row r="140" spans="1:5" s="41" customFormat="1" ht="18" customHeight="1">
      <c r="A140" s="17" t="s">
        <v>386</v>
      </c>
      <c r="B140" s="22" t="s">
        <v>178</v>
      </c>
      <c r="C140" s="37" t="s">
        <v>498</v>
      </c>
      <c r="D140" s="85">
        <f>6149-741</f>
        <v>5408</v>
      </c>
      <c r="E140" s="50"/>
    </row>
    <row r="141" spans="1:5" s="41" customFormat="1" ht="18" customHeight="1">
      <c r="A141" s="46" t="s">
        <v>304</v>
      </c>
      <c r="B141" s="22" t="s">
        <v>178</v>
      </c>
      <c r="C141" s="37" t="s">
        <v>497</v>
      </c>
      <c r="D141" s="85">
        <f>11248-1356</f>
        <v>9892</v>
      </c>
      <c r="E141" s="50"/>
    </row>
    <row r="142" spans="1:5" s="41" customFormat="1" ht="45.75" customHeight="1" hidden="1">
      <c r="A142" s="46" t="s">
        <v>517</v>
      </c>
      <c r="B142" s="22" t="s">
        <v>850</v>
      </c>
      <c r="C142" s="37" t="s">
        <v>518</v>
      </c>
      <c r="D142" s="85"/>
      <c r="E142" s="50"/>
    </row>
    <row r="143" spans="1:5" s="41" customFormat="1" ht="45.75" customHeight="1" hidden="1">
      <c r="A143" s="46" t="s">
        <v>521</v>
      </c>
      <c r="B143" s="22" t="s">
        <v>851</v>
      </c>
      <c r="C143" s="37" t="s">
        <v>522</v>
      </c>
      <c r="D143" s="85"/>
      <c r="E143" s="50"/>
    </row>
    <row r="144" spans="1:5" s="41" customFormat="1" ht="30.75" customHeight="1" hidden="1">
      <c r="A144" s="46" t="s">
        <v>757</v>
      </c>
      <c r="B144" s="22" t="s">
        <v>852</v>
      </c>
      <c r="C144" s="37" t="s">
        <v>728</v>
      </c>
      <c r="D144" s="85"/>
      <c r="E144" s="50"/>
    </row>
    <row r="145" spans="1:5" s="41" customFormat="1" ht="42.75" customHeight="1" hidden="1">
      <c r="A145" s="46" t="s">
        <v>758</v>
      </c>
      <c r="B145" s="22" t="s">
        <v>853</v>
      </c>
      <c r="C145" s="37" t="s">
        <v>753</v>
      </c>
      <c r="D145" s="85"/>
      <c r="E145" s="50"/>
    </row>
    <row r="146" spans="1:5" s="41" customFormat="1" ht="45.75" customHeight="1" hidden="1">
      <c r="A146" s="79" t="s">
        <v>642</v>
      </c>
      <c r="B146" s="86" t="s">
        <v>414</v>
      </c>
      <c r="C146" s="86" t="s">
        <v>531</v>
      </c>
      <c r="D146" s="93">
        <f>SUM(D147:D148)</f>
        <v>0</v>
      </c>
      <c r="E146" s="50"/>
    </row>
    <row r="147" spans="1:5" s="41" customFormat="1" ht="17.25" customHeight="1" hidden="1">
      <c r="A147" s="17" t="s">
        <v>214</v>
      </c>
      <c r="B147" s="22" t="s">
        <v>417</v>
      </c>
      <c r="C147" s="37" t="s">
        <v>532</v>
      </c>
      <c r="D147" s="85">
        <v>0</v>
      </c>
      <c r="E147" s="50"/>
    </row>
    <row r="148" spans="1:5" s="41" customFormat="1" ht="16.5" customHeight="1" hidden="1">
      <c r="A148" s="17" t="s">
        <v>675</v>
      </c>
      <c r="B148" s="22" t="s">
        <v>854</v>
      </c>
      <c r="C148" s="37" t="s">
        <v>674</v>
      </c>
      <c r="D148" s="85"/>
      <c r="E148" s="50"/>
    </row>
    <row r="149" spans="1:5" s="41" customFormat="1" ht="45.75" customHeight="1" hidden="1">
      <c r="A149" s="79" t="s">
        <v>552</v>
      </c>
      <c r="B149" s="86" t="s">
        <v>414</v>
      </c>
      <c r="C149" s="86" t="s">
        <v>534</v>
      </c>
      <c r="D149" s="93">
        <f>SUM(D150:D155)</f>
        <v>0</v>
      </c>
      <c r="E149" s="50"/>
    </row>
    <row r="150" spans="1:5" s="41" customFormat="1" ht="33" customHeight="1" hidden="1">
      <c r="A150" s="17" t="s">
        <v>538</v>
      </c>
      <c r="B150" s="22" t="s">
        <v>855</v>
      </c>
      <c r="C150" s="37" t="s">
        <v>530</v>
      </c>
      <c r="D150" s="85">
        <v>0</v>
      </c>
      <c r="E150" s="50"/>
    </row>
    <row r="151" spans="1:5" s="41" customFormat="1" ht="15" customHeight="1" hidden="1">
      <c r="A151" s="46" t="s">
        <v>238</v>
      </c>
      <c r="B151" s="22" t="s">
        <v>178</v>
      </c>
      <c r="C151" s="37" t="s">
        <v>529</v>
      </c>
      <c r="D151" s="85">
        <v>0</v>
      </c>
      <c r="E151" s="50"/>
    </row>
    <row r="152" spans="1:5" s="41" customFormat="1" ht="57.75" customHeight="1" hidden="1">
      <c r="A152" s="46" t="s">
        <v>540</v>
      </c>
      <c r="B152" s="22" t="s">
        <v>418</v>
      </c>
      <c r="C152" s="37" t="s">
        <v>526</v>
      </c>
      <c r="D152" s="85">
        <v>0</v>
      </c>
      <c r="E152" s="50"/>
    </row>
    <row r="153" spans="1:5" s="41" customFormat="1" ht="31.5" customHeight="1" hidden="1">
      <c r="A153" s="46" t="s">
        <v>315</v>
      </c>
      <c r="B153" s="22" t="s">
        <v>418</v>
      </c>
      <c r="C153" s="37" t="s">
        <v>527</v>
      </c>
      <c r="D153" s="85">
        <v>0</v>
      </c>
      <c r="E153" s="50"/>
    </row>
    <row r="154" spans="1:5" s="41" customFormat="1" ht="29.25" customHeight="1" hidden="1">
      <c r="A154" s="46" t="s">
        <v>667</v>
      </c>
      <c r="B154" s="22" t="s">
        <v>418</v>
      </c>
      <c r="C154" s="37" t="s">
        <v>528</v>
      </c>
      <c r="D154" s="85">
        <v>0</v>
      </c>
      <c r="E154" s="50"/>
    </row>
    <row r="155" spans="1:5" s="41" customFormat="1" ht="42.75" customHeight="1" hidden="1">
      <c r="A155" s="46" t="s">
        <v>702</v>
      </c>
      <c r="B155" s="22" t="s">
        <v>856</v>
      </c>
      <c r="C155" s="37" t="s">
        <v>742</v>
      </c>
      <c r="D155" s="85"/>
      <c r="E155" s="50"/>
    </row>
    <row r="156" spans="1:5" s="41" customFormat="1" ht="33.75" customHeight="1">
      <c r="A156" s="82" t="s">
        <v>860</v>
      </c>
      <c r="B156" s="86" t="s">
        <v>414</v>
      </c>
      <c r="C156" s="80" t="s">
        <v>566</v>
      </c>
      <c r="D156" s="93">
        <f>D157</f>
        <v>15</v>
      </c>
      <c r="E156" s="50"/>
    </row>
    <row r="157" spans="1:5" s="41" customFormat="1" ht="28.5" customHeight="1">
      <c r="A157" s="46" t="s">
        <v>567</v>
      </c>
      <c r="B157" s="22" t="s">
        <v>178</v>
      </c>
      <c r="C157" s="37" t="s">
        <v>568</v>
      </c>
      <c r="D157" s="85">
        <f>D158</f>
        <v>15</v>
      </c>
      <c r="E157" s="50"/>
    </row>
    <row r="158" spans="1:5" s="41" customFormat="1" ht="16.5" customHeight="1">
      <c r="A158" s="46" t="s">
        <v>622</v>
      </c>
      <c r="B158" s="22" t="s">
        <v>178</v>
      </c>
      <c r="C158" s="37" t="s">
        <v>570</v>
      </c>
      <c r="D158" s="85">
        <v>15</v>
      </c>
      <c r="E158" s="50"/>
    </row>
    <row r="159" spans="1:5" s="41" customFormat="1" ht="44.25" customHeight="1">
      <c r="A159" s="79" t="s">
        <v>957</v>
      </c>
      <c r="B159" s="86" t="s">
        <v>414</v>
      </c>
      <c r="C159" s="86" t="s">
        <v>577</v>
      </c>
      <c r="D159" s="93">
        <f>D160+D161</f>
        <v>20.20202</v>
      </c>
      <c r="E159" s="50"/>
    </row>
    <row r="160" spans="1:5" s="41" customFormat="1" ht="31.5" customHeight="1" hidden="1">
      <c r="A160" s="46" t="s">
        <v>643</v>
      </c>
      <c r="B160" s="22" t="s">
        <v>857</v>
      </c>
      <c r="C160" s="37" t="s">
        <v>579</v>
      </c>
      <c r="D160" s="85"/>
      <c r="E160" s="50"/>
    </row>
    <row r="161" spans="1:5" s="41" customFormat="1" ht="33" customHeight="1">
      <c r="A161" s="46" t="s">
        <v>644</v>
      </c>
      <c r="B161" s="22" t="s">
        <v>178</v>
      </c>
      <c r="C161" s="37" t="s">
        <v>752</v>
      </c>
      <c r="D161" s="85">
        <v>20.20202</v>
      </c>
      <c r="E161" s="50"/>
    </row>
    <row r="162" spans="1:5" s="41" customFormat="1" ht="73.5" customHeight="1">
      <c r="A162" s="79" t="s">
        <v>894</v>
      </c>
      <c r="B162" s="86" t="s">
        <v>414</v>
      </c>
      <c r="C162" s="86" t="s">
        <v>808</v>
      </c>
      <c r="D162" s="93">
        <f>SUM(D163:D165)</f>
        <v>36747.32394</v>
      </c>
      <c r="E162" s="50"/>
    </row>
    <row r="163" spans="1:5" s="41" customFormat="1" ht="31.5" customHeight="1">
      <c r="A163" s="46" t="s">
        <v>810</v>
      </c>
      <c r="B163" s="22" t="s">
        <v>178</v>
      </c>
      <c r="C163" s="37" t="s">
        <v>812</v>
      </c>
      <c r="D163" s="85">
        <v>15077.75311</v>
      </c>
      <c r="E163" s="50"/>
    </row>
    <row r="164" spans="1:5" s="41" customFormat="1" ht="33" customHeight="1">
      <c r="A164" s="46" t="s">
        <v>811</v>
      </c>
      <c r="B164" s="22" t="s">
        <v>178</v>
      </c>
      <c r="C164" s="37" t="s">
        <v>813</v>
      </c>
      <c r="D164" s="85">
        <v>551.4939</v>
      </c>
      <c r="E164" s="50"/>
    </row>
    <row r="165" spans="1:7" s="41" customFormat="1" ht="44.25" customHeight="1">
      <c r="A165" s="46" t="s">
        <v>809</v>
      </c>
      <c r="B165" s="22" t="s">
        <v>178</v>
      </c>
      <c r="C165" s="37" t="s">
        <v>814</v>
      </c>
      <c r="D165" s="85">
        <v>21118.07693</v>
      </c>
      <c r="E165" s="91"/>
      <c r="F165" s="91"/>
      <c r="G165" s="91"/>
    </row>
    <row r="166" spans="1:5" s="306" customFormat="1" ht="18" customHeight="1">
      <c r="A166" s="82" t="s">
        <v>101</v>
      </c>
      <c r="B166" s="178"/>
      <c r="C166" s="179"/>
      <c r="D166" s="93">
        <f>D131+D96+D94+D75+D70+D67+D63+D12+D135+D137+D146+D149+D156+D159+D162</f>
        <v>448649.60568000004</v>
      </c>
      <c r="E166" s="311"/>
    </row>
    <row r="167" spans="1:5" ht="18" customHeight="1">
      <c r="A167" s="312" t="s">
        <v>361</v>
      </c>
      <c r="B167" s="312"/>
      <c r="C167" s="312"/>
      <c r="D167" s="312"/>
      <c r="E167" s="27"/>
    </row>
    <row r="168" spans="1:5" ht="30" customHeight="1">
      <c r="A168" s="38" t="s">
        <v>152</v>
      </c>
      <c r="B168" s="57"/>
      <c r="C168" s="58" t="s">
        <v>10</v>
      </c>
      <c r="D168" s="109"/>
      <c r="E168" s="27"/>
    </row>
    <row r="169" spans="1:5" ht="13.5">
      <c r="A169" s="38" t="s">
        <v>102</v>
      </c>
      <c r="B169" s="57"/>
      <c r="C169" s="58" t="s">
        <v>11</v>
      </c>
      <c r="D169" s="109"/>
      <c r="E169" s="27"/>
    </row>
    <row r="170" spans="1:5" ht="13.5">
      <c r="A170" s="46" t="s">
        <v>419</v>
      </c>
      <c r="B170" s="57"/>
      <c r="C170" s="58" t="s">
        <v>12</v>
      </c>
      <c r="D170" s="109">
        <v>1836.31</v>
      </c>
      <c r="E170" s="27"/>
    </row>
    <row r="171" spans="1:5" ht="18" customHeight="1">
      <c r="A171" s="46" t="s">
        <v>119</v>
      </c>
      <c r="B171" s="57"/>
      <c r="C171" s="58" t="s">
        <v>13</v>
      </c>
      <c r="D171" s="109">
        <v>1683</v>
      </c>
      <c r="E171" s="27"/>
    </row>
    <row r="172" spans="1:5" ht="27" customHeight="1">
      <c r="A172" s="46" t="s">
        <v>156</v>
      </c>
      <c r="B172" s="57"/>
      <c r="C172" s="58" t="s">
        <v>14</v>
      </c>
      <c r="D172" s="128">
        <f>2164.8+95.3+17503.26+3166.8+2820.6+2699.9+6459.92-126</f>
        <v>34784.58</v>
      </c>
      <c r="E172" s="27"/>
    </row>
    <row r="173" spans="1:5" ht="16.5" customHeight="1">
      <c r="A173" s="46" t="s">
        <v>120</v>
      </c>
      <c r="B173" s="57"/>
      <c r="C173" s="58" t="s">
        <v>15</v>
      </c>
      <c r="D173" s="109">
        <v>1585.4</v>
      </c>
      <c r="E173" s="27"/>
    </row>
    <row r="174" spans="1:5" ht="15" customHeight="1">
      <c r="A174" s="46" t="s">
        <v>121</v>
      </c>
      <c r="B174" s="57"/>
      <c r="C174" s="58" t="s">
        <v>20</v>
      </c>
      <c r="D174" s="109"/>
      <c r="E174" s="27"/>
    </row>
    <row r="175" spans="1:5" ht="16.5" customHeight="1">
      <c r="A175" s="46" t="s">
        <v>122</v>
      </c>
      <c r="B175" s="57"/>
      <c r="C175" s="58" t="s">
        <v>21</v>
      </c>
      <c r="D175" s="109">
        <v>430</v>
      </c>
      <c r="E175" s="27"/>
    </row>
    <row r="176" spans="1:5" ht="30.75" customHeight="1" hidden="1">
      <c r="A176" s="46" t="s">
        <v>380</v>
      </c>
      <c r="B176" s="57"/>
      <c r="C176" s="58" t="s">
        <v>22</v>
      </c>
      <c r="D176" s="109"/>
      <c r="E176" s="27"/>
    </row>
    <row r="177" spans="1:5" ht="33" customHeight="1" hidden="1">
      <c r="A177" s="46" t="s">
        <v>43</v>
      </c>
      <c r="B177" s="57"/>
      <c r="C177" s="58" t="s">
        <v>23</v>
      </c>
      <c r="D177" s="109">
        <v>0</v>
      </c>
      <c r="E177" s="27"/>
    </row>
    <row r="178" spans="1:5" ht="17.25" customHeight="1" hidden="1">
      <c r="A178" s="46" t="s">
        <v>386</v>
      </c>
      <c r="B178" s="57"/>
      <c r="C178" s="58" t="s">
        <v>24</v>
      </c>
      <c r="D178" s="109"/>
      <c r="E178" s="51"/>
    </row>
    <row r="179" spans="1:5" ht="31.5" customHeight="1" hidden="1">
      <c r="A179" s="46" t="s">
        <v>123</v>
      </c>
      <c r="B179" s="57"/>
      <c r="C179" s="58" t="s">
        <v>25</v>
      </c>
      <c r="D179" s="109"/>
      <c r="E179" s="27"/>
    </row>
    <row r="180" spans="1:5" ht="15.75" customHeight="1">
      <c r="A180" s="46" t="s">
        <v>575</v>
      </c>
      <c r="B180" s="57"/>
      <c r="C180" s="58" t="s">
        <v>26</v>
      </c>
      <c r="D180" s="109">
        <v>503.9</v>
      </c>
      <c r="E180" s="51"/>
    </row>
    <row r="181" spans="1:5" ht="15" customHeight="1">
      <c r="A181" s="46" t="s">
        <v>399</v>
      </c>
      <c r="B181" s="57"/>
      <c r="C181" s="58" t="s">
        <v>27</v>
      </c>
      <c r="D181" s="109">
        <v>90</v>
      </c>
      <c r="E181" s="27"/>
    </row>
    <row r="182" spans="1:5" ht="15.75" customHeight="1">
      <c r="A182" s="46" t="s">
        <v>400</v>
      </c>
      <c r="B182" s="57"/>
      <c r="C182" s="58" t="s">
        <v>28</v>
      </c>
      <c r="D182" s="109">
        <v>100</v>
      </c>
      <c r="E182" s="27"/>
    </row>
    <row r="183" spans="1:5" ht="15.75" customHeight="1">
      <c r="A183" s="46" t="s">
        <v>486</v>
      </c>
      <c r="B183" s="57"/>
      <c r="C183" s="58" t="s">
        <v>86</v>
      </c>
      <c r="D183" s="109">
        <v>683</v>
      </c>
      <c r="E183" s="27"/>
    </row>
    <row r="184" spans="1:5" ht="15.75" customHeight="1">
      <c r="A184" s="46" t="s">
        <v>208</v>
      </c>
      <c r="B184" s="57"/>
      <c r="C184" s="58" t="s">
        <v>93</v>
      </c>
      <c r="D184" s="109">
        <v>1090</v>
      </c>
      <c r="E184" s="27"/>
    </row>
    <row r="185" spans="1:5" ht="15.75" customHeight="1">
      <c r="A185" s="46" t="s">
        <v>494</v>
      </c>
      <c r="B185" s="57"/>
      <c r="C185" s="58" t="s">
        <v>94</v>
      </c>
      <c r="D185" s="109">
        <f>655.9-20.20202</f>
        <v>635.69798</v>
      </c>
      <c r="E185" s="27"/>
    </row>
    <row r="186" spans="1:5" ht="30" customHeight="1">
      <c r="A186" s="46" t="s">
        <v>315</v>
      </c>
      <c r="B186" s="57"/>
      <c r="C186" s="58" t="s">
        <v>95</v>
      </c>
      <c r="D186" s="109">
        <f>50+11.21</f>
        <v>61.21</v>
      </c>
      <c r="E186" s="27"/>
    </row>
    <row r="187" spans="1:5" ht="17.25" customHeight="1">
      <c r="A187" s="46" t="s">
        <v>461</v>
      </c>
      <c r="B187" s="57"/>
      <c r="C187" s="58" t="s">
        <v>96</v>
      </c>
      <c r="D187" s="109">
        <v>50</v>
      </c>
      <c r="E187" s="27"/>
    </row>
    <row r="188" spans="1:5" ht="79.5" customHeight="1" hidden="1">
      <c r="A188" s="46" t="s">
        <v>516</v>
      </c>
      <c r="B188" s="57"/>
      <c r="C188" s="58" t="s">
        <v>515</v>
      </c>
      <c r="D188" s="109"/>
      <c r="E188" s="27"/>
    </row>
    <row r="189" spans="1:5" ht="17.25" customHeight="1" hidden="1">
      <c r="A189" s="46" t="s">
        <v>510</v>
      </c>
      <c r="B189" s="57"/>
      <c r="C189" s="58" t="s">
        <v>511</v>
      </c>
      <c r="D189" s="109"/>
      <c r="E189" s="27"/>
    </row>
    <row r="190" spans="1:5" ht="17.25" customHeight="1">
      <c r="A190" s="46" t="s">
        <v>519</v>
      </c>
      <c r="B190" s="57"/>
      <c r="C190" s="58" t="s">
        <v>520</v>
      </c>
      <c r="D190" s="109">
        <v>1402.9</v>
      </c>
      <c r="E190" s="27"/>
    </row>
    <row r="191" spans="1:5" ht="57" customHeight="1">
      <c r="A191" s="46" t="s">
        <v>338</v>
      </c>
      <c r="B191" s="57"/>
      <c r="C191" s="58" t="s">
        <v>501</v>
      </c>
      <c r="D191" s="109">
        <v>11291.076</v>
      </c>
      <c r="E191" s="27"/>
    </row>
    <row r="192" spans="1:5" ht="15.75" customHeight="1" hidden="1">
      <c r="A192" s="46" t="s">
        <v>549</v>
      </c>
      <c r="B192" s="57"/>
      <c r="C192" s="58" t="s">
        <v>550</v>
      </c>
      <c r="D192" s="109"/>
      <c r="E192" s="27"/>
    </row>
    <row r="193" spans="1:5" ht="15.75" customHeight="1" hidden="1">
      <c r="A193" s="46" t="s">
        <v>645</v>
      </c>
      <c r="B193" s="57"/>
      <c r="C193" s="58" t="s">
        <v>584</v>
      </c>
      <c r="D193" s="109"/>
      <c r="E193" s="27"/>
    </row>
    <row r="194" spans="1:5" ht="15.75" customHeight="1">
      <c r="A194" s="46" t="s">
        <v>561</v>
      </c>
      <c r="B194" s="57"/>
      <c r="C194" s="58" t="s">
        <v>562</v>
      </c>
      <c r="D194" s="109">
        <v>100</v>
      </c>
      <c r="E194" s="27"/>
    </row>
    <row r="195" spans="1:5" ht="30" customHeight="1" hidden="1">
      <c r="A195" s="46" t="s">
        <v>764</v>
      </c>
      <c r="B195" s="57"/>
      <c r="C195" s="58" t="s">
        <v>765</v>
      </c>
      <c r="D195" s="109"/>
      <c r="E195" s="27"/>
    </row>
    <row r="196" spans="1:5" ht="39.75" customHeight="1" hidden="1">
      <c r="A196" s="46" t="s">
        <v>796</v>
      </c>
      <c r="B196" s="57"/>
      <c r="C196" s="58" t="s">
        <v>797</v>
      </c>
      <c r="D196" s="109"/>
      <c r="E196" s="27"/>
    </row>
    <row r="197" spans="1:5" ht="15.75" customHeight="1">
      <c r="A197" s="46" t="s">
        <v>573</v>
      </c>
      <c r="B197" s="57"/>
      <c r="C197" s="58" t="s">
        <v>574</v>
      </c>
      <c r="D197" s="109">
        <v>80.3</v>
      </c>
      <c r="E197" s="27"/>
    </row>
    <row r="198" spans="1:5" ht="54.75" customHeight="1">
      <c r="A198" s="46" t="s">
        <v>580</v>
      </c>
      <c r="B198" s="57"/>
      <c r="C198" s="58" t="s">
        <v>581</v>
      </c>
      <c r="D198" s="109">
        <v>250</v>
      </c>
      <c r="E198" s="27"/>
    </row>
    <row r="199" spans="1:5" ht="57" customHeight="1">
      <c r="A199" s="46" t="s">
        <v>103</v>
      </c>
      <c r="B199" s="57"/>
      <c r="C199" s="141">
        <v>9999959300</v>
      </c>
      <c r="D199" s="109">
        <v>1361.162</v>
      </c>
      <c r="E199" s="27"/>
    </row>
    <row r="200" spans="1:5" ht="33" customHeight="1" hidden="1">
      <c r="A200" s="46" t="s">
        <v>798</v>
      </c>
      <c r="B200" s="57"/>
      <c r="C200" s="141" t="s">
        <v>799</v>
      </c>
      <c r="D200" s="109"/>
      <c r="E200" s="27"/>
    </row>
    <row r="201" spans="1:5" ht="18" customHeight="1">
      <c r="A201" s="82" t="s">
        <v>873</v>
      </c>
      <c r="B201" s="178"/>
      <c r="C201" s="179" t="s">
        <v>875</v>
      </c>
      <c r="D201" s="209">
        <f>D202+D203</f>
        <v>1982.644</v>
      </c>
      <c r="E201" s="27"/>
    </row>
    <row r="202" spans="1:5" ht="33" customHeight="1">
      <c r="A202" s="46" t="s">
        <v>104</v>
      </c>
      <c r="B202" s="57"/>
      <c r="C202" s="58" t="s">
        <v>875</v>
      </c>
      <c r="D202" s="109">
        <v>1209.049</v>
      </c>
      <c r="E202" s="27"/>
    </row>
    <row r="203" spans="1:5" ht="18" customHeight="1">
      <c r="A203" s="46" t="s">
        <v>105</v>
      </c>
      <c r="B203" s="57"/>
      <c r="C203" s="58" t="s">
        <v>875</v>
      </c>
      <c r="D203" s="109">
        <v>773.595</v>
      </c>
      <c r="E203" s="27"/>
    </row>
    <row r="204" spans="1:5" ht="27.75" customHeight="1" hidden="1">
      <c r="A204" s="46" t="s">
        <v>104</v>
      </c>
      <c r="B204" s="57"/>
      <c r="C204" s="58" t="s">
        <v>17</v>
      </c>
      <c r="D204" s="109">
        <v>0</v>
      </c>
      <c r="E204" s="27"/>
    </row>
    <row r="205" spans="1:5" ht="13.5" hidden="1">
      <c r="A205" s="46" t="s">
        <v>105</v>
      </c>
      <c r="B205" s="57"/>
      <c r="C205" s="58" t="s">
        <v>18</v>
      </c>
      <c r="D205" s="109">
        <v>0</v>
      </c>
      <c r="E205" s="27"/>
    </row>
    <row r="206" spans="1:5" ht="30" customHeight="1">
      <c r="A206" s="46" t="s">
        <v>741</v>
      </c>
      <c r="B206" s="57"/>
      <c r="C206" s="58" t="s">
        <v>42</v>
      </c>
      <c r="D206" s="109">
        <v>265.91093</v>
      </c>
      <c r="E206" s="27"/>
    </row>
    <row r="207" spans="1:5" ht="17.25" customHeight="1">
      <c r="A207" s="46" t="s">
        <v>106</v>
      </c>
      <c r="B207" s="57"/>
      <c r="C207" s="58" t="s">
        <v>16</v>
      </c>
      <c r="D207" s="109">
        <v>802.16</v>
      </c>
      <c r="E207" s="27"/>
    </row>
    <row r="208" spans="1:5" ht="27" customHeight="1">
      <c r="A208" s="46" t="s">
        <v>682</v>
      </c>
      <c r="B208" s="57"/>
      <c r="C208" s="58" t="s">
        <v>703</v>
      </c>
      <c r="D208" s="109">
        <v>1882.931</v>
      </c>
      <c r="E208" s="27"/>
    </row>
    <row r="209" spans="1:5" ht="41.25" customHeight="1" hidden="1">
      <c r="A209" s="46" t="s">
        <v>683</v>
      </c>
      <c r="B209" s="57"/>
      <c r="C209" s="58" t="s">
        <v>704</v>
      </c>
      <c r="D209" s="109"/>
      <c r="E209" s="27"/>
    </row>
    <row r="210" spans="1:5" ht="29.25" customHeight="1" hidden="1">
      <c r="A210" s="46" t="s">
        <v>684</v>
      </c>
      <c r="B210" s="57"/>
      <c r="C210" s="58" t="s">
        <v>705</v>
      </c>
      <c r="D210" s="109"/>
      <c r="E210" s="27"/>
    </row>
    <row r="211" spans="1:5" ht="41.25">
      <c r="A211" s="46" t="s">
        <v>107</v>
      </c>
      <c r="B211" s="57"/>
      <c r="C211" s="58" t="s">
        <v>29</v>
      </c>
      <c r="D211" s="109">
        <v>1.7122</v>
      </c>
      <c r="E211" s="27"/>
    </row>
    <row r="212" spans="1:5" ht="30.75" customHeight="1">
      <c r="A212" s="46" t="s">
        <v>747</v>
      </c>
      <c r="B212" s="57"/>
      <c r="C212" s="58" t="s">
        <v>465</v>
      </c>
      <c r="D212" s="109">
        <v>197.02185</v>
      </c>
      <c r="E212" s="27"/>
    </row>
    <row r="213" spans="1:5" ht="27" hidden="1">
      <c r="A213" s="46" t="s">
        <v>108</v>
      </c>
      <c r="B213" s="57"/>
      <c r="C213" s="58">
        <v>9999951180</v>
      </c>
      <c r="D213" s="109"/>
      <c r="E213" s="51"/>
    </row>
    <row r="214" spans="1:5" ht="42.75" customHeight="1">
      <c r="A214" s="46" t="s">
        <v>646</v>
      </c>
      <c r="B214" s="57"/>
      <c r="C214" s="58" t="s">
        <v>572</v>
      </c>
      <c r="D214" s="109">
        <v>3.38708</v>
      </c>
      <c r="E214" s="51"/>
    </row>
    <row r="215" spans="1:5" ht="42.75" customHeight="1">
      <c r="A215" s="46" t="s">
        <v>626</v>
      </c>
      <c r="B215" s="57"/>
      <c r="C215" s="58" t="s">
        <v>565</v>
      </c>
      <c r="D215" s="109">
        <v>879.91987</v>
      </c>
      <c r="E215" s="84"/>
    </row>
    <row r="216" spans="1:5" ht="27.75" customHeight="1" hidden="1">
      <c r="A216" s="46" t="s">
        <v>756</v>
      </c>
      <c r="B216" s="57"/>
      <c r="C216" s="58" t="s">
        <v>762</v>
      </c>
      <c r="D216" s="109"/>
      <c r="E216" s="51"/>
    </row>
    <row r="217" spans="1:5" ht="29.25" customHeight="1" hidden="1">
      <c r="A217" s="46" t="s">
        <v>761</v>
      </c>
      <c r="B217" s="57"/>
      <c r="C217" s="58" t="s">
        <v>763</v>
      </c>
      <c r="D217" s="109"/>
      <c r="E217" s="51"/>
    </row>
    <row r="218" spans="1:5" ht="54.75" customHeight="1" hidden="1">
      <c r="A218" s="46" t="s">
        <v>780</v>
      </c>
      <c r="B218" s="57"/>
      <c r="C218" s="58" t="s">
        <v>781</v>
      </c>
      <c r="D218" s="109"/>
      <c r="E218" s="51"/>
    </row>
    <row r="219" spans="1:5" ht="16.5" customHeight="1">
      <c r="A219" s="82" t="s">
        <v>125</v>
      </c>
      <c r="B219" s="178"/>
      <c r="C219" s="179"/>
      <c r="D219" s="92">
        <f>D218+D217+D216+D215+D214+D212+D211+D208+D207+D206+D201+D199+D198+D197+D194+D191+D190+D187+D186+D185+D184+D183+D182+D181+D180+D175+D173+D174+D172+D171+D170</f>
        <v>64034.222910000004</v>
      </c>
      <c r="E219" s="313"/>
    </row>
    <row r="220" spans="1:5" ht="16.5" customHeight="1">
      <c r="A220" s="64" t="s">
        <v>868</v>
      </c>
      <c r="B220" s="178"/>
      <c r="C220" s="179"/>
      <c r="D220" s="93">
        <f>5388.775-52.425</f>
        <v>5336.349999999999</v>
      </c>
      <c r="E220" s="313"/>
    </row>
    <row r="221" spans="1:5" s="23" customFormat="1" ht="19.5" customHeight="1">
      <c r="A221" s="82" t="s">
        <v>109</v>
      </c>
      <c r="B221" s="178"/>
      <c r="C221" s="179"/>
      <c r="D221" s="92">
        <f>D219+D166+D220</f>
        <v>518020.17859</v>
      </c>
      <c r="E221" s="314"/>
    </row>
    <row r="222" ht="15">
      <c r="D222" s="316"/>
    </row>
    <row r="223" ht="12.75">
      <c r="C223" s="196"/>
    </row>
    <row r="224" ht="12.75">
      <c r="C224" s="196"/>
    </row>
    <row r="225" spans="3:4" ht="12.75">
      <c r="C225" s="317"/>
      <c r="D225" s="216"/>
    </row>
    <row r="227" ht="12.75">
      <c r="C227" s="35"/>
    </row>
  </sheetData>
  <sheetProtection/>
  <mergeCells count="7">
    <mergeCell ref="A167:D167"/>
    <mergeCell ref="A1:D1"/>
    <mergeCell ref="A2:D2"/>
    <mergeCell ref="A3:D3"/>
    <mergeCell ref="A4:D4"/>
    <mergeCell ref="A6:D6"/>
    <mergeCell ref="A11:D11"/>
  </mergeCells>
  <printOptions/>
  <pageMargins left="0.7480314960629921" right="0.7480314960629921" top="0.984251968503937" bottom="0.7874015748031497" header="0.5118110236220472" footer="0.5118110236220472"/>
  <pageSetup fitToHeight="0" fitToWidth="1" horizontalDpi="600" verticalDpi="600" orientation="portrait" paperSize="9" scale="77" r:id="rId1"/>
  <rowBreaks count="3" manualBreakCount="3">
    <brk id="39" max="3" man="1"/>
    <brk id="100" max="3" man="1"/>
    <brk id="166" max="3" man="1"/>
  </rowBreaks>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SheetLayoutView="100" zoomScalePageLayoutView="0" workbookViewId="0" topLeftCell="A1">
      <selection activeCell="K19" sqref="K19"/>
    </sheetView>
  </sheetViews>
  <sheetFormatPr defaultColWidth="8.625" defaultRowHeight="12.75"/>
  <cols>
    <col min="1" max="1" width="37.625" style="276" customWidth="1"/>
    <col min="2" max="2" width="4.625" style="31" hidden="1" customWidth="1"/>
    <col min="3" max="3" width="5.50390625" style="31" hidden="1" customWidth="1"/>
    <col min="4" max="4" width="12.375" style="31" hidden="1" customWidth="1"/>
    <col min="5" max="5" width="4.625" style="31" hidden="1" customWidth="1"/>
    <col min="6" max="6" width="13.50390625" style="35" customWidth="1"/>
    <col min="7" max="7" width="10.50390625" style="35" customWidth="1"/>
    <col min="8" max="9" width="13.50390625" style="35" customWidth="1"/>
    <col min="10" max="10" width="10.50390625" style="35" bestFit="1" customWidth="1"/>
    <col min="11" max="11" width="14.50390625" style="35" customWidth="1"/>
    <col min="12" max="12" width="13.875" style="35" customWidth="1"/>
    <col min="13" max="13" width="10.50390625" style="35" bestFit="1" customWidth="1"/>
    <col min="14" max="14" width="14.625" style="35" customWidth="1"/>
    <col min="15" max="16384" width="8.625" style="35" customWidth="1"/>
  </cols>
  <sheetData>
    <row r="1" spans="1:14" ht="15.75" customHeight="1">
      <c r="A1" s="107"/>
      <c r="B1" s="107"/>
      <c r="C1" s="107"/>
      <c r="D1" s="107"/>
      <c r="E1" s="319"/>
      <c r="F1" s="242"/>
      <c r="G1" s="242"/>
      <c r="H1" s="242"/>
      <c r="L1" s="242" t="s">
        <v>956</v>
      </c>
      <c r="M1" s="242"/>
      <c r="N1" s="242"/>
    </row>
    <row r="2" spans="1:14" ht="18">
      <c r="A2" s="320"/>
      <c r="B2" s="319"/>
      <c r="C2" s="319"/>
      <c r="D2" s="321"/>
      <c r="E2" s="319"/>
      <c r="F2" s="242"/>
      <c r="G2" s="242"/>
      <c r="H2" s="242"/>
      <c r="L2" s="242" t="s">
        <v>410</v>
      </c>
      <c r="M2" s="242"/>
      <c r="N2" s="242"/>
    </row>
    <row r="3" spans="1:14" ht="18">
      <c r="A3" s="320"/>
      <c r="B3" s="319"/>
      <c r="C3" s="319"/>
      <c r="D3" s="321"/>
      <c r="E3" s="319"/>
      <c r="F3" s="242"/>
      <c r="G3" s="242"/>
      <c r="H3" s="242"/>
      <c r="L3" s="242" t="s">
        <v>411</v>
      </c>
      <c r="M3" s="242"/>
      <c r="N3" s="242"/>
    </row>
    <row r="4" spans="1:14" ht="15.75" customHeight="1">
      <c r="A4" s="320"/>
      <c r="B4" s="319"/>
      <c r="C4" s="319"/>
      <c r="D4" s="319"/>
      <c r="E4" s="319"/>
      <c r="F4" s="277"/>
      <c r="G4" s="242"/>
      <c r="H4" s="242"/>
      <c r="L4" s="277" t="s">
        <v>964</v>
      </c>
      <c r="M4" s="242"/>
      <c r="N4" s="242"/>
    </row>
    <row r="5" ht="4.5" customHeight="1"/>
    <row r="6" spans="1:14" ht="15">
      <c r="A6" s="266" t="s">
        <v>412</v>
      </c>
      <c r="B6" s="266"/>
      <c r="C6" s="266"/>
      <c r="D6" s="266"/>
      <c r="E6" s="266"/>
      <c r="F6" s="266"/>
      <c r="G6" s="266"/>
      <c r="H6" s="266"/>
      <c r="I6" s="266"/>
      <c r="J6" s="266"/>
      <c r="K6" s="266"/>
      <c r="L6" s="266"/>
      <c r="M6" s="266"/>
      <c r="N6" s="266"/>
    </row>
    <row r="7" spans="1:14" ht="16.5" customHeight="1">
      <c r="A7" s="266" t="s">
        <v>806</v>
      </c>
      <c r="B7" s="266"/>
      <c r="C7" s="266"/>
      <c r="D7" s="266"/>
      <c r="E7" s="266"/>
      <c r="F7" s="266"/>
      <c r="G7" s="266"/>
      <c r="H7" s="266"/>
      <c r="I7" s="266"/>
      <c r="J7" s="266"/>
      <c r="K7" s="266"/>
      <c r="L7" s="266"/>
      <c r="M7" s="266"/>
      <c r="N7" s="266"/>
    </row>
    <row r="8" spans="1:14" ht="15.75" customHeight="1">
      <c r="A8" s="266"/>
      <c r="B8" s="266"/>
      <c r="C8" s="266"/>
      <c r="D8" s="266"/>
      <c r="E8" s="266"/>
      <c r="F8" s="266"/>
      <c r="G8" s="266"/>
      <c r="H8" s="266"/>
      <c r="I8" s="266"/>
      <c r="J8" s="266"/>
      <c r="K8" s="266"/>
      <c r="L8" s="266"/>
      <c r="M8" s="266"/>
      <c r="N8" s="266"/>
    </row>
    <row r="9" spans="1:14" ht="15.75" customHeight="1">
      <c r="A9" s="8"/>
      <c r="B9" s="8"/>
      <c r="C9" s="198"/>
      <c r="D9" s="198"/>
      <c r="E9" s="198"/>
      <c r="F9" s="198"/>
      <c r="G9" s="198"/>
      <c r="H9" s="45"/>
      <c r="I9" s="45"/>
      <c r="J9" s="45"/>
      <c r="K9" s="45"/>
      <c r="L9" s="45"/>
      <c r="M9" s="45"/>
      <c r="N9" s="45" t="s">
        <v>375</v>
      </c>
    </row>
    <row r="10" spans="1:14" ht="12" customHeight="1">
      <c r="A10" s="322" t="s">
        <v>350</v>
      </c>
      <c r="B10" s="323" t="s">
        <v>144</v>
      </c>
      <c r="C10" s="323" t="s">
        <v>145</v>
      </c>
      <c r="D10" s="324" t="s">
        <v>352</v>
      </c>
      <c r="E10" s="323" t="s">
        <v>146</v>
      </c>
      <c r="F10" s="272" t="s">
        <v>551</v>
      </c>
      <c r="G10" s="274" t="s">
        <v>354</v>
      </c>
      <c r="H10" s="274"/>
      <c r="I10" s="272" t="s">
        <v>663</v>
      </c>
      <c r="J10" s="274" t="s">
        <v>354</v>
      </c>
      <c r="K10" s="274"/>
      <c r="L10" s="272" t="s">
        <v>867</v>
      </c>
      <c r="M10" s="274" t="s">
        <v>354</v>
      </c>
      <c r="N10" s="274"/>
    </row>
    <row r="11" spans="1:14" ht="52.5" customHeight="1">
      <c r="A11" s="325"/>
      <c r="B11" s="326"/>
      <c r="C11" s="326"/>
      <c r="D11" s="327"/>
      <c r="E11" s="326"/>
      <c r="F11" s="273"/>
      <c r="G11" s="2" t="s">
        <v>135</v>
      </c>
      <c r="H11" s="2" t="s">
        <v>247</v>
      </c>
      <c r="I11" s="273"/>
      <c r="J11" s="2" t="s">
        <v>135</v>
      </c>
      <c r="K11" s="2" t="s">
        <v>247</v>
      </c>
      <c r="L11" s="273"/>
      <c r="M11" s="2" t="s">
        <v>135</v>
      </c>
      <c r="N11" s="2" t="s">
        <v>247</v>
      </c>
    </row>
    <row r="12" spans="1:14" s="329" customFormat="1" ht="11.25" customHeight="1">
      <c r="A12" s="328">
        <v>1</v>
      </c>
      <c r="B12" s="328">
        <v>2</v>
      </c>
      <c r="C12" s="328">
        <v>3</v>
      </c>
      <c r="D12" s="328">
        <v>4</v>
      </c>
      <c r="E12" s="328">
        <v>5</v>
      </c>
      <c r="F12" s="15">
        <v>6</v>
      </c>
      <c r="G12" s="11">
        <v>7</v>
      </c>
      <c r="H12" s="16">
        <v>8</v>
      </c>
      <c r="I12" s="15">
        <v>6</v>
      </c>
      <c r="J12" s="11">
        <v>7</v>
      </c>
      <c r="K12" s="16">
        <v>8</v>
      </c>
      <c r="L12" s="15">
        <v>6</v>
      </c>
      <c r="M12" s="11">
        <v>7</v>
      </c>
      <c r="N12" s="16">
        <v>8</v>
      </c>
    </row>
    <row r="13" spans="1:14" s="329" customFormat="1" ht="53.25" customHeight="1" hidden="1">
      <c r="A13" s="44" t="s">
        <v>134</v>
      </c>
      <c r="B13" s="30" t="s">
        <v>396</v>
      </c>
      <c r="C13" s="30" t="s">
        <v>396</v>
      </c>
      <c r="D13" s="30"/>
      <c r="E13" s="30"/>
      <c r="F13" s="199"/>
      <c r="G13" s="200"/>
      <c r="H13" s="200"/>
      <c r="I13" s="199"/>
      <c r="J13" s="200"/>
      <c r="K13" s="200"/>
      <c r="L13" s="199"/>
      <c r="M13" s="200"/>
      <c r="N13" s="200"/>
    </row>
    <row r="14" spans="1:14" s="19" customFormat="1" ht="65.25" customHeight="1" hidden="1">
      <c r="A14" s="33" t="s">
        <v>184</v>
      </c>
      <c r="B14" s="30" t="s">
        <v>396</v>
      </c>
      <c r="C14" s="30" t="s">
        <v>396</v>
      </c>
      <c r="D14" s="30"/>
      <c r="E14" s="30"/>
      <c r="F14" s="330"/>
      <c r="G14" s="331"/>
      <c r="H14" s="331"/>
      <c r="I14" s="330"/>
      <c r="J14" s="331"/>
      <c r="K14" s="331"/>
      <c r="L14" s="330"/>
      <c r="M14" s="331"/>
      <c r="N14" s="331"/>
    </row>
    <row r="15" spans="1:14" ht="33.75" customHeight="1" hidden="1">
      <c r="A15" s="29" t="s">
        <v>204</v>
      </c>
      <c r="B15" s="14" t="s">
        <v>396</v>
      </c>
      <c r="C15" s="14" t="s">
        <v>396</v>
      </c>
      <c r="D15" s="14" t="s">
        <v>67</v>
      </c>
      <c r="E15" s="14" t="s">
        <v>205</v>
      </c>
      <c r="F15" s="332">
        <f>G15+H15</f>
        <v>0</v>
      </c>
      <c r="G15" s="25">
        <v>0</v>
      </c>
      <c r="H15" s="25">
        <v>0</v>
      </c>
      <c r="I15" s="332">
        <f>J15+K15</f>
        <v>0</v>
      </c>
      <c r="J15" s="25">
        <v>0</v>
      </c>
      <c r="K15" s="25">
        <v>0</v>
      </c>
      <c r="L15" s="332">
        <f>M15+N15</f>
        <v>0</v>
      </c>
      <c r="M15" s="25">
        <v>0</v>
      </c>
      <c r="N15" s="25">
        <v>0</v>
      </c>
    </row>
    <row r="16" spans="1:14" s="27" customFormat="1" ht="18.75" customHeight="1">
      <c r="A16" s="75" t="s">
        <v>339</v>
      </c>
      <c r="B16" s="37" t="s">
        <v>231</v>
      </c>
      <c r="C16" s="37" t="s">
        <v>149</v>
      </c>
      <c r="D16" s="37"/>
      <c r="E16" s="37"/>
      <c r="F16" s="201"/>
      <c r="G16" s="333"/>
      <c r="H16" s="333"/>
      <c r="I16" s="201"/>
      <c r="J16" s="333"/>
      <c r="K16" s="333"/>
      <c r="L16" s="201"/>
      <c r="M16" s="333"/>
      <c r="N16" s="333"/>
    </row>
    <row r="17" spans="1:14" s="106" customFormat="1" ht="17.25" customHeight="1">
      <c r="A17" s="75" t="s">
        <v>142</v>
      </c>
      <c r="B17" s="37"/>
      <c r="C17" s="37"/>
      <c r="D17" s="37"/>
      <c r="E17" s="37"/>
      <c r="F17" s="201"/>
      <c r="G17" s="49"/>
      <c r="H17" s="49"/>
      <c r="I17" s="201"/>
      <c r="J17" s="49"/>
      <c r="K17" s="49"/>
      <c r="L17" s="201"/>
      <c r="M17" s="49"/>
      <c r="N17" s="49"/>
    </row>
    <row r="18" spans="1:14" s="39" customFormat="1" ht="32.25" customHeight="1">
      <c r="A18" s="17" t="s">
        <v>486</v>
      </c>
      <c r="B18" s="37" t="s">
        <v>231</v>
      </c>
      <c r="C18" s="37" t="s">
        <v>148</v>
      </c>
      <c r="D18" s="37" t="s">
        <v>86</v>
      </c>
      <c r="E18" s="37" t="s">
        <v>205</v>
      </c>
      <c r="F18" s="121">
        <f>G18+H18</f>
        <v>767.6</v>
      </c>
      <c r="G18" s="85">
        <f>683+84.6</f>
        <v>767.6</v>
      </c>
      <c r="H18" s="85">
        <v>0</v>
      </c>
      <c r="I18" s="121">
        <f>J18+K18</f>
        <v>683</v>
      </c>
      <c r="J18" s="85">
        <v>683</v>
      </c>
      <c r="K18" s="85">
        <v>0</v>
      </c>
      <c r="L18" s="121">
        <f>M18+N18</f>
        <v>683</v>
      </c>
      <c r="M18" s="85">
        <v>683</v>
      </c>
      <c r="N18" s="85">
        <v>0</v>
      </c>
    </row>
    <row r="19" spans="1:14" s="39" customFormat="1" ht="25.5" customHeight="1">
      <c r="A19" s="75" t="s">
        <v>602</v>
      </c>
      <c r="B19" s="37" t="s">
        <v>231</v>
      </c>
      <c r="C19" s="37" t="s">
        <v>155</v>
      </c>
      <c r="D19" s="37"/>
      <c r="E19" s="37"/>
      <c r="F19" s="202"/>
      <c r="G19" s="49"/>
      <c r="H19" s="49"/>
      <c r="I19" s="202"/>
      <c r="J19" s="49"/>
      <c r="K19" s="49"/>
      <c r="L19" s="202"/>
      <c r="M19" s="49"/>
      <c r="N19" s="49"/>
    </row>
    <row r="20" spans="1:14" s="39" customFormat="1" ht="69" customHeight="1">
      <c r="A20" s="17" t="s">
        <v>717</v>
      </c>
      <c r="B20" s="37" t="s">
        <v>231</v>
      </c>
      <c r="C20" s="37" t="s">
        <v>155</v>
      </c>
      <c r="D20" s="37" t="s">
        <v>698</v>
      </c>
      <c r="E20" s="37" t="s">
        <v>289</v>
      </c>
      <c r="F20" s="121">
        <f>G20+H20</f>
        <v>2160</v>
      </c>
      <c r="G20" s="85">
        <v>0</v>
      </c>
      <c r="H20" s="85">
        <v>2160</v>
      </c>
      <c r="I20" s="121">
        <f>J20+K20</f>
        <v>2160</v>
      </c>
      <c r="J20" s="85">
        <v>0</v>
      </c>
      <c r="K20" s="85">
        <v>2160</v>
      </c>
      <c r="L20" s="121">
        <f>M20+N20</f>
        <v>2160</v>
      </c>
      <c r="M20" s="85">
        <v>0</v>
      </c>
      <c r="N20" s="85">
        <v>2160</v>
      </c>
    </row>
    <row r="21" spans="1:14" s="39" customFormat="1" ht="23.25" customHeight="1">
      <c r="A21" s="75" t="s">
        <v>407</v>
      </c>
      <c r="B21" s="37" t="s">
        <v>231</v>
      </c>
      <c r="C21" s="37" t="s">
        <v>159</v>
      </c>
      <c r="D21" s="37"/>
      <c r="E21" s="37"/>
      <c r="F21" s="202"/>
      <c r="G21" s="49"/>
      <c r="H21" s="49"/>
      <c r="I21" s="202"/>
      <c r="J21" s="49"/>
      <c r="K21" s="49"/>
      <c r="L21" s="202"/>
      <c r="M21" s="49"/>
      <c r="N21" s="49"/>
    </row>
    <row r="22" spans="1:14" s="39" customFormat="1" ht="114" customHeight="1" hidden="1">
      <c r="A22" s="55" t="s">
        <v>685</v>
      </c>
      <c r="B22" s="37" t="s">
        <v>231</v>
      </c>
      <c r="C22" s="37" t="s">
        <v>159</v>
      </c>
      <c r="D22" s="37"/>
      <c r="E22" s="37"/>
      <c r="F22" s="202"/>
      <c r="G22" s="49"/>
      <c r="H22" s="49"/>
      <c r="I22" s="202"/>
      <c r="J22" s="49"/>
      <c r="K22" s="49"/>
      <c r="L22" s="202"/>
      <c r="M22" s="49"/>
      <c r="N22" s="49"/>
    </row>
    <row r="23" spans="1:15" s="39" customFormat="1" ht="73.5" customHeight="1">
      <c r="A23" s="46" t="s">
        <v>716</v>
      </c>
      <c r="B23" s="37" t="s">
        <v>231</v>
      </c>
      <c r="C23" s="37" t="s">
        <v>159</v>
      </c>
      <c r="D23" s="37" t="s">
        <v>704</v>
      </c>
      <c r="E23" s="37" t="s">
        <v>205</v>
      </c>
      <c r="F23" s="121">
        <f>G23+H23</f>
        <v>11363.829310000001</v>
      </c>
      <c r="G23" s="85"/>
      <c r="H23" s="85">
        <f>14649.63122-1788.71266-1497.08925</f>
        <v>11363.829310000001</v>
      </c>
      <c r="I23" s="121">
        <f>J23+K23</f>
        <v>14927.75311</v>
      </c>
      <c r="J23" s="85"/>
      <c r="K23" s="85">
        <v>14927.75311</v>
      </c>
      <c r="L23" s="121">
        <f>M23+N23</f>
        <v>15217.0012</v>
      </c>
      <c r="M23" s="85"/>
      <c r="N23" s="85">
        <v>15217.0012</v>
      </c>
      <c r="O23" s="189"/>
    </row>
    <row r="24" spans="1:14" s="39" customFormat="1" ht="86.25" customHeight="1" hidden="1">
      <c r="A24" s="55" t="s">
        <v>688</v>
      </c>
      <c r="B24" s="37"/>
      <c r="C24" s="37"/>
      <c r="D24" s="37"/>
      <c r="E24" s="37"/>
      <c r="F24" s="121"/>
      <c r="G24" s="85"/>
      <c r="H24" s="85"/>
      <c r="I24" s="121"/>
      <c r="J24" s="85"/>
      <c r="K24" s="85"/>
      <c r="L24" s="121"/>
      <c r="M24" s="85"/>
      <c r="N24" s="85"/>
    </row>
    <row r="25" spans="1:14" s="39" customFormat="1" ht="54" customHeight="1">
      <c r="A25" s="46" t="s">
        <v>718</v>
      </c>
      <c r="B25" s="37" t="s">
        <v>231</v>
      </c>
      <c r="C25" s="37" t="s">
        <v>159</v>
      </c>
      <c r="D25" s="37" t="s">
        <v>705</v>
      </c>
      <c r="E25" s="37" t="s">
        <v>205</v>
      </c>
      <c r="F25" s="121">
        <f>G25+H25</f>
        <v>525.28251</v>
      </c>
      <c r="G25" s="85"/>
      <c r="H25" s="85">
        <f>530.28251-5</f>
        <v>525.28251</v>
      </c>
      <c r="I25" s="121">
        <f>J25+K25</f>
        <v>546.4939</v>
      </c>
      <c r="J25" s="85"/>
      <c r="K25" s="85">
        <v>546.4939</v>
      </c>
      <c r="L25" s="121">
        <f>M25+N25</f>
        <v>568.55666</v>
      </c>
      <c r="M25" s="85"/>
      <c r="N25" s="85">
        <f>573.55666-5</f>
        <v>568.55666</v>
      </c>
    </row>
    <row r="26" spans="1:14" s="39" customFormat="1" ht="57" customHeight="1" hidden="1">
      <c r="A26" s="75" t="s">
        <v>478</v>
      </c>
      <c r="B26" s="37" t="s">
        <v>231</v>
      </c>
      <c r="C26" s="37" t="s">
        <v>159</v>
      </c>
      <c r="D26" s="37"/>
      <c r="E26" s="37"/>
      <c r="F26" s="121"/>
      <c r="G26" s="85"/>
      <c r="H26" s="85"/>
      <c r="I26" s="121"/>
      <c r="J26" s="85"/>
      <c r="K26" s="85"/>
      <c r="L26" s="121"/>
      <c r="M26" s="85"/>
      <c r="N26" s="85"/>
    </row>
    <row r="27" spans="1:14" s="27" customFormat="1" ht="18" customHeight="1" hidden="1">
      <c r="A27" s="55" t="s">
        <v>233</v>
      </c>
      <c r="B27" s="37" t="s">
        <v>231</v>
      </c>
      <c r="C27" s="37" t="s">
        <v>159</v>
      </c>
      <c r="D27" s="37"/>
      <c r="E27" s="37"/>
      <c r="F27" s="121"/>
      <c r="G27" s="85"/>
      <c r="H27" s="85"/>
      <c r="I27" s="121"/>
      <c r="J27" s="85"/>
      <c r="K27" s="85"/>
      <c r="L27" s="121"/>
      <c r="M27" s="85"/>
      <c r="N27" s="85"/>
    </row>
    <row r="28" spans="1:14" s="27" customFormat="1" ht="68.25" customHeight="1">
      <c r="A28" s="17" t="s">
        <v>719</v>
      </c>
      <c r="B28" s="37" t="s">
        <v>231</v>
      </c>
      <c r="C28" s="37" t="s">
        <v>159</v>
      </c>
      <c r="D28" s="37" t="s">
        <v>90</v>
      </c>
      <c r="E28" s="37" t="s">
        <v>205</v>
      </c>
      <c r="F28" s="121">
        <f>G28+H28</f>
        <v>6035.259</v>
      </c>
      <c r="G28" s="85">
        <v>0</v>
      </c>
      <c r="H28" s="85">
        <v>6035.259</v>
      </c>
      <c r="I28" s="121">
        <f>J28+K28</f>
        <v>1333.599</v>
      </c>
      <c r="J28" s="85">
        <v>0</v>
      </c>
      <c r="K28" s="85">
        <v>1333.599</v>
      </c>
      <c r="L28" s="121">
        <f>M28+N28</f>
        <v>807.656</v>
      </c>
      <c r="M28" s="85">
        <v>0</v>
      </c>
      <c r="N28" s="85">
        <v>807.656</v>
      </c>
    </row>
    <row r="29" spans="1:14" s="27" customFormat="1" ht="66" customHeight="1" hidden="1">
      <c r="A29" s="55" t="s">
        <v>184</v>
      </c>
      <c r="B29" s="37" t="s">
        <v>231</v>
      </c>
      <c r="C29" s="37" t="s">
        <v>159</v>
      </c>
      <c r="D29" s="37"/>
      <c r="E29" s="37"/>
      <c r="F29" s="121"/>
      <c r="G29" s="120"/>
      <c r="H29" s="85"/>
      <c r="I29" s="121"/>
      <c r="J29" s="120"/>
      <c r="K29" s="85"/>
      <c r="L29" s="121"/>
      <c r="M29" s="120"/>
      <c r="N29" s="85"/>
    </row>
    <row r="30" spans="1:14" s="27" customFormat="1" ht="69.75" customHeight="1">
      <c r="A30" s="17" t="s">
        <v>720</v>
      </c>
      <c r="B30" s="37" t="s">
        <v>231</v>
      </c>
      <c r="C30" s="37" t="s">
        <v>159</v>
      </c>
      <c r="D30" s="37" t="s">
        <v>67</v>
      </c>
      <c r="E30" s="37" t="s">
        <v>205</v>
      </c>
      <c r="F30" s="121">
        <f>G30+H30</f>
        <v>300</v>
      </c>
      <c r="G30" s="120">
        <v>0</v>
      </c>
      <c r="H30" s="85">
        <v>300</v>
      </c>
      <c r="I30" s="121">
        <f>J30+K30</f>
        <v>0</v>
      </c>
      <c r="J30" s="120">
        <v>0</v>
      </c>
      <c r="K30" s="85">
        <v>0</v>
      </c>
      <c r="L30" s="121">
        <f>M30+N30</f>
        <v>0</v>
      </c>
      <c r="M30" s="120">
        <v>0</v>
      </c>
      <c r="N30" s="85">
        <v>0</v>
      </c>
    </row>
    <row r="31" spans="1:14" ht="18" customHeight="1">
      <c r="A31" s="64" t="s">
        <v>246</v>
      </c>
      <c r="B31" s="4"/>
      <c r="C31" s="4"/>
      <c r="D31" s="4"/>
      <c r="E31" s="4"/>
      <c r="F31" s="116">
        <f>F15+F23+F25+F18+F20+F28+F30</f>
        <v>21151.970820000002</v>
      </c>
      <c r="G31" s="113">
        <f aca="true" t="shared" si="0" ref="G31:N31">G15+G23+G25+G18+G20+G28+G30</f>
        <v>767.6</v>
      </c>
      <c r="H31" s="113">
        <f t="shared" si="0"/>
        <v>20384.370820000004</v>
      </c>
      <c r="I31" s="116">
        <f t="shared" si="0"/>
        <v>19650.846009999997</v>
      </c>
      <c r="J31" s="113">
        <f t="shared" si="0"/>
        <v>683</v>
      </c>
      <c r="K31" s="113">
        <f t="shared" si="0"/>
        <v>18967.846009999997</v>
      </c>
      <c r="L31" s="116">
        <f t="shared" si="0"/>
        <v>19436.21386</v>
      </c>
      <c r="M31" s="113">
        <f t="shared" si="0"/>
        <v>683</v>
      </c>
      <c r="N31" s="113">
        <f t="shared" si="0"/>
        <v>18753.21386</v>
      </c>
    </row>
    <row r="32" spans="6:7" ht="15">
      <c r="F32" s="334"/>
      <c r="G32" s="203"/>
    </row>
    <row r="33" spans="1:8" ht="15">
      <c r="A33" s="9"/>
      <c r="B33" s="9"/>
      <c r="C33" s="204"/>
      <c r="D33" s="204"/>
      <c r="E33" s="204"/>
      <c r="F33" s="205"/>
      <c r="G33" s="194"/>
      <c r="H33" s="205"/>
    </row>
    <row r="34" spans="4:7" ht="15">
      <c r="D34" s="264"/>
      <c r="E34" s="264"/>
      <c r="F34" s="264"/>
      <c r="G34" s="194"/>
    </row>
  </sheetData>
  <sheetProtection/>
  <mergeCells count="22">
    <mergeCell ref="M10:N10"/>
    <mergeCell ref="L1:N1"/>
    <mergeCell ref="L2:N2"/>
    <mergeCell ref="L3:N3"/>
    <mergeCell ref="L4:N4"/>
    <mergeCell ref="I10:I11"/>
    <mergeCell ref="J10:K10"/>
    <mergeCell ref="A6:N6"/>
    <mergeCell ref="A7:N8"/>
    <mergeCell ref="F1:H1"/>
    <mergeCell ref="F2:H2"/>
    <mergeCell ref="F3:H3"/>
    <mergeCell ref="F4:H4"/>
    <mergeCell ref="G10:H10"/>
    <mergeCell ref="L10:L11"/>
    <mergeCell ref="D34:F34"/>
    <mergeCell ref="A10:A11"/>
    <mergeCell ref="B10:B11"/>
    <mergeCell ref="C10:C11"/>
    <mergeCell ref="D10:D11"/>
    <mergeCell ref="E10:E11"/>
    <mergeCell ref="F10:F11"/>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Гвоздик </cp:lastModifiedBy>
  <cp:lastPrinted>2021-09-25T09:33:37Z</cp:lastPrinted>
  <dcterms:created xsi:type="dcterms:W3CDTF">2008-10-27T01:25:53Z</dcterms:created>
  <dcterms:modified xsi:type="dcterms:W3CDTF">2021-09-30T03:27:29Z</dcterms:modified>
  <cp:category/>
  <cp:version/>
  <cp:contentType/>
  <cp:contentStatus/>
</cp:coreProperties>
</file>