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1416" windowWidth="8388" windowHeight="5088" tabRatio="848" activeTab="0"/>
  </bookViews>
  <sheets>
    <sheet name="1" sheetId="1" r:id="rId1"/>
    <sheet name="6" sheetId="2" r:id="rId2"/>
    <sheet name="7" sheetId="3" r:id="rId3"/>
    <sheet name="8" sheetId="4" r:id="rId4"/>
    <sheet name="9" sheetId="5" r:id="rId5"/>
    <sheet name="14" sheetId="6" r:id="rId6"/>
  </sheets>
  <definedNames>
    <definedName name="_xlnm.Print_Titles" localSheetId="1">'6'!$8:$9</definedName>
    <definedName name="_xlnm.Print_Area" localSheetId="0">'1'!$A$1:$C$21</definedName>
    <definedName name="_xlnm.Print_Area" localSheetId="5">'14'!$A$1:$N$31</definedName>
    <definedName name="_xlnm.Print_Area" localSheetId="1">'6'!$A$1:$E$103</definedName>
    <definedName name="_xlnm.Print_Area" localSheetId="2">'7'!$A$1:$H$665</definedName>
    <definedName name="_xlnm.Print_Area" localSheetId="3">'8'!$A$1:$I$697</definedName>
    <definedName name="_xlnm.Print_Area" localSheetId="4">'9'!$A$1:$D$261</definedName>
  </definedNames>
  <calcPr fullCalcOnLoad="1"/>
</workbook>
</file>

<file path=xl/sharedStrings.xml><?xml version="1.0" encoding="utf-8"?>
<sst xmlns="http://schemas.openxmlformats.org/spreadsheetml/2006/main" count="8091" uniqueCount="949">
  <si>
    <t>01 05 0201 05 0000 510</t>
  </si>
  <si>
    <t>Увеличение прочих остатков денежных средств районного бюджета</t>
  </si>
  <si>
    <t>01 05 0201 05 0000 610</t>
  </si>
  <si>
    <t>Уменьшение прочих остатков денежных средств районного бюджета</t>
  </si>
  <si>
    <t>1 11 05013 05 0000 120</t>
  </si>
  <si>
    <t>Другие вопросы в области культуры, кинематографии</t>
  </si>
  <si>
    <t>1 11 05013 10 0000 120</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</si>
  <si>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t>
  </si>
  <si>
    <t>9900000000</t>
  </si>
  <si>
    <t>9990000000</t>
  </si>
  <si>
    <t>9990010010</t>
  </si>
  <si>
    <t>9990010020</t>
  </si>
  <si>
    <t>9990010030</t>
  </si>
  <si>
    <t>9990010040</t>
  </si>
  <si>
    <t>9990093100</t>
  </si>
  <si>
    <t>Осуществление переданных органам государственной власти субъектов РФ в соответствии с п.1 ст.4 ФЗ от 15.11.1997 г. № 143-ФЗ "Об актах гражданского состояния" полномочий РФ по государственной регистрации актов гражданского состояния</t>
  </si>
  <si>
    <t>9990010050</t>
  </si>
  <si>
    <t>9990010060</t>
  </si>
  <si>
    <t>9990010070</t>
  </si>
  <si>
    <t>9990010080</t>
  </si>
  <si>
    <t>9990010090</t>
  </si>
  <si>
    <t>9990010101</t>
  </si>
  <si>
    <t>9990010102</t>
  </si>
  <si>
    <t>9990010103</t>
  </si>
  <si>
    <t>9990093120</t>
  </si>
  <si>
    <t>0800000000</t>
  </si>
  <si>
    <t>0100000000</t>
  </si>
  <si>
    <t>0180000000</t>
  </si>
  <si>
    <t>Подпрограмма № 8 «Молодежь Кировского района"</t>
  </si>
  <si>
    <t>0180020040</t>
  </si>
  <si>
    <t>0180020041</t>
  </si>
  <si>
    <t>Подпрограмма № 9 "Предупреждение развития наркомании в районе"</t>
  </si>
  <si>
    <t>0190000000</t>
  </si>
  <si>
    <t>0300000000</t>
  </si>
  <si>
    <t>0300030360</t>
  </si>
  <si>
    <t>0300030362</t>
  </si>
  <si>
    <t>0700000000</t>
  </si>
  <si>
    <t>9990093040</t>
  </si>
  <si>
    <t>Возмещение затрат или недополученных доходов от предоставления транспортных услуг населению в границах Кировского  муниципального района</t>
  </si>
  <si>
    <t>0120000000</t>
  </si>
  <si>
    <t>0120020041</t>
  </si>
  <si>
    <t>0120020040</t>
  </si>
  <si>
    <t>0120020042</t>
  </si>
  <si>
    <t>0120093070</t>
  </si>
  <si>
    <t>0110000000</t>
  </si>
  <si>
    <t>0110020040</t>
  </si>
  <si>
    <t>0110020041</t>
  </si>
  <si>
    <t>0110020042</t>
  </si>
  <si>
    <t>0130000000</t>
  </si>
  <si>
    <t>0130020040</t>
  </si>
  <si>
    <t>0130020041</t>
  </si>
  <si>
    <t>0130020042</t>
  </si>
  <si>
    <t>0140000000</t>
  </si>
  <si>
    <t>0140020040</t>
  </si>
  <si>
    <t>0140020041</t>
  </si>
  <si>
    <t>0140020042</t>
  </si>
  <si>
    <t>0140020043</t>
  </si>
  <si>
    <t>0140020044</t>
  </si>
  <si>
    <t>0110093060</t>
  </si>
  <si>
    <t>0150000000</t>
  </si>
  <si>
    <t>0150020040</t>
  </si>
  <si>
    <t>0160000000</t>
  </si>
  <si>
    <t>0160093080</t>
  </si>
  <si>
    <t>0170000000</t>
  </si>
  <si>
    <t>0170020040</t>
  </si>
  <si>
    <t>Расходы на обеспечение деятельности (оказание услуг, выполнение работ) централизованных бухгалтерий</t>
  </si>
  <si>
    <t>0200000000</t>
  </si>
  <si>
    <t>0200020260</t>
  </si>
  <si>
    <t>0200020261</t>
  </si>
  <si>
    <t>0200020262</t>
  </si>
  <si>
    <t>0300030361</t>
  </si>
  <si>
    <t>0600000000</t>
  </si>
  <si>
    <t>0610000000</t>
  </si>
  <si>
    <t>0610020140</t>
  </si>
  <si>
    <t>0610020141</t>
  </si>
  <si>
    <t>0620020140</t>
  </si>
  <si>
    <t>0630020140</t>
  </si>
  <si>
    <t>0640020140</t>
  </si>
  <si>
    <t>Подпрограмма   № 8 "Молодежь Кировского района"</t>
  </si>
  <si>
    <t>0180020042</t>
  </si>
  <si>
    <t>0200020263</t>
  </si>
  <si>
    <t>9990010104</t>
  </si>
  <si>
    <t>0500000000</t>
  </si>
  <si>
    <t>0500050560</t>
  </si>
  <si>
    <t>Подпрограмма   № 2 "Развитие дошкольных образовательных учреждений"</t>
  </si>
  <si>
    <t>0120093090</t>
  </si>
  <si>
    <t>0400000000</t>
  </si>
  <si>
    <t>0400040460</t>
  </si>
  <si>
    <t>9990010105</t>
  </si>
  <si>
    <t>9990010106</t>
  </si>
  <si>
    <t>9990010107</t>
  </si>
  <si>
    <t>9990010108</t>
  </si>
  <si>
    <t>0610020142</t>
  </si>
  <si>
    <t>Иные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(организация досуга и обеспечения услугами культуры)</t>
  </si>
  <si>
    <t>0800020140</t>
  </si>
  <si>
    <t>060000000</t>
  </si>
  <si>
    <t>Всего программные мероприятия</t>
  </si>
  <si>
    <t>Непрограммные мероприятия</t>
  </si>
  <si>
    <t>Осуществление переданных органам местного самоуправления в соответствии с пунктом 1 статьи 4 Федерального закона "Об актах гражданского состояния" полномочий Российской Федерации по государственной регистрации актов гражданского состояния</t>
  </si>
  <si>
    <t>Обеспечение деятельности комиссий по делам несовершеннолетних и защите их прав</t>
  </si>
  <si>
    <t>Создание административных комиссий</t>
  </si>
  <si>
    <t>Государственноее управление охраной труда</t>
  </si>
  <si>
    <t>Регистрация и учет граждан, имеющих право на получение жилищных субсидий в связи с переселением из районов Крайнего Севера и приравненных к ним местностей</t>
  </si>
  <si>
    <t>Осуществление первичного воинского учета на территориях, где отсутствуют военные комиссариаты</t>
  </si>
  <si>
    <t>Всего программные и непрограммные мероприятия</t>
  </si>
  <si>
    <t>Расходы на исполнение госполномочий по реализации дошкольного, общего и дополнительного образования в муниципальных общеобразовательных учреждениях по основным общеобразовательным программам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</si>
  <si>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</si>
  <si>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Компенсация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</si>
  <si>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Субсидии из местного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за счет средств краевого бюджета</t>
  </si>
  <si>
    <t>Субсидии из местного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за счет средств районного бюджета</t>
  </si>
  <si>
    <t>Мероприятия в сфере образования (МКУ ЦОМОУ)</t>
  </si>
  <si>
    <t>Мероприятия в сфере образования (МКУ "ЦОМОУ")</t>
  </si>
  <si>
    <t>иные межбюджетные трансферты (переданные полномочия поселений по культуре МБУ "КДЦ")</t>
  </si>
  <si>
    <t>Председатель Думы муниципального образования</t>
  </si>
  <si>
    <t>Председатель КСК</t>
  </si>
  <si>
    <t>Исполнительные листы</t>
  </si>
  <si>
    <t>Оценка недвижимости</t>
  </si>
  <si>
    <t xml:space="preserve">Программные направления деятельности органов местного самоуправления </t>
  </si>
  <si>
    <t>Всего  непрограммные мероприятия</t>
  </si>
  <si>
    <t>620</t>
  </si>
  <si>
    <t>Субсидии из местного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t>
  </si>
  <si>
    <t>Субсидии бюджетным учреждениям (МБУ ДОД "ДЮЦ")</t>
  </si>
  <si>
    <t>Субсидии бюджетным учреждениям (МБУ ВПЦ "Патриот")</t>
  </si>
  <si>
    <t>022933040</t>
  </si>
  <si>
    <t>Муниципальная программа "Развитие малого и среднего предпринимательства в Кировском муниципальном районе на 2014-2017 годы"</t>
  </si>
  <si>
    <t>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t>
  </si>
  <si>
    <t>Субсидии бюджетным учреждениям образования</t>
  </si>
  <si>
    <t>Муниципальная программа "Развитие образования в Кировском муниципальном районе на 2014-2017  годы"</t>
  </si>
  <si>
    <t>за счет средств местного бюджета</t>
  </si>
  <si>
    <t>подразделам, целевым статьям и видам расходов в соответствии с классификацией расходов</t>
  </si>
  <si>
    <t>(тыс. руб.)</t>
  </si>
  <si>
    <t>Код бюджетной классификации Российской Федерации</t>
  </si>
  <si>
    <t>Учреждение: Контрольно-счетная комиссия Кировского муниципального района</t>
  </si>
  <si>
    <t>Итого</t>
  </si>
  <si>
    <t>Пенсионное обеспечение</t>
  </si>
  <si>
    <t>Доплаты к пенсиям государственных служащих субъектов Российской Федерации и муниципальных служащих</t>
  </si>
  <si>
    <t>Раз-дел</t>
  </si>
  <si>
    <t>Под-раз-дел</t>
  </si>
  <si>
    <t>Вид рас-хо-дов</t>
  </si>
  <si>
    <t>ОБЩЕГОСУДАРСТВЕННЫЕ ВОПРОСЫ</t>
  </si>
  <si>
    <t>01</t>
  </si>
  <si>
    <t>00</t>
  </si>
  <si>
    <t>02</t>
  </si>
  <si>
    <t>Непрограммные направления деятельности органов местного самоуправления</t>
  </si>
  <si>
    <t>Мероприятия непрограммных направлений деятельности органов местного самоуправления</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</si>
  <si>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</si>
  <si>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</si>
  <si>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</si>
  <si>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Руководство и управление в сфере установленных функций органов местного самоуправления</t>
  </si>
  <si>
    <t>200</t>
  </si>
  <si>
    <t>300</t>
  </si>
  <si>
    <t>04</t>
  </si>
  <si>
    <t>110</t>
  </si>
  <si>
    <t>06</t>
  </si>
  <si>
    <t>Непрограммные направления деятельности органов местного самоуправления ( КСК)</t>
  </si>
  <si>
    <t>Руководство и управление в сфере установленных функций органов местного самоуправления (КСК)</t>
  </si>
  <si>
    <t>Председатель контрольно-счетной комиссии</t>
  </si>
  <si>
    <t>Резервные фонды</t>
  </si>
  <si>
    <t>11</t>
  </si>
  <si>
    <t>Резервный фонд Администрации Кировского муниципального района</t>
  </si>
  <si>
    <t>13</t>
  </si>
  <si>
    <t>Субвенции</t>
  </si>
  <si>
    <t>Субвенции на выполнение органами местного самоуправления отдельных государственных полномочий по государственному управлению охраной труда</t>
  </si>
  <si>
    <t>Субвенции на реализацию отдельных государственных полномочий по созданию административных комиссий</t>
  </si>
  <si>
    <t xml:space="preserve">Общее образование </t>
  </si>
  <si>
    <t>1 11 05035 05 0000 120</t>
  </si>
  <si>
    <t>1 11 09045 05 0000 120</t>
  </si>
  <si>
    <t>Дотации бюджетам муниципальных районов на выравнивание бюджетной обеспеченности</t>
  </si>
  <si>
    <t xml:space="preserve">Субсидии бюджетным учреждениям </t>
  </si>
  <si>
    <t>951</t>
  </si>
  <si>
    <t>Приложение № 1</t>
  </si>
  <si>
    <t>Расходы на обеспечение деятельности  (оказание услуг, выполнение работ) муниципальных учреждений ( прочие учреждения)</t>
  </si>
  <si>
    <t>Председатель Думы Кировского муниципального района</t>
  </si>
  <si>
    <t>Субвенции на выплату ежемесячного денежного вознаграждения за классное руководство за счет краевого бюджета</t>
  </si>
  <si>
    <t>Субвенции на реализацию дошкольного, общего и дополнительного образования в муниципальных общеобразовательных учреждениях по основным общеобразовательным программам</t>
  </si>
  <si>
    <t>Субвенции на организацию и обеспечение оздоровления и отдыха детей Приморского края ( за исключением организации отдыха детей в каникулярное время)</t>
  </si>
  <si>
    <t>КУЛЬТУРА, КИНЕМАТОГРАФИЯ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</si>
  <si>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</si>
  <si>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120</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</si>
  <si>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</si>
  <si>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</si>
  <si>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</si>
  <si>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240</t>
  </si>
  <si>
    <t>Уплата налогов, сборов и иных платежей</t>
  </si>
  <si>
    <t>850</t>
  </si>
  <si>
    <t>Иные бюджетные ассигнования</t>
  </si>
  <si>
    <t>800</t>
  </si>
  <si>
    <t>Резервные средства</t>
  </si>
  <si>
    <t>870</t>
  </si>
  <si>
    <t>Исполнение судебных актов</t>
  </si>
  <si>
    <t>830</t>
  </si>
  <si>
    <t>Межбюджетные трансферты</t>
  </si>
  <si>
    <t>500</t>
  </si>
  <si>
    <t>Расходы на выплаты персоналу казенных учреждений</t>
  </si>
  <si>
    <t>Социальное обеспечение и иные выплаты населению</t>
  </si>
  <si>
    <t>Публичные нормативные социальные выплаты гражданам</t>
  </si>
  <si>
    <t>310</t>
  </si>
  <si>
    <t>Социальные выплаты гражданам, кроме публичных нормативных социальных выплат</t>
  </si>
  <si>
    <t>320</t>
  </si>
  <si>
    <t>Обслуживание государственного (муниципального) долга</t>
  </si>
  <si>
    <t>700</t>
  </si>
  <si>
    <t>Дотации</t>
  </si>
  <si>
    <t>510</t>
  </si>
  <si>
    <t>Предоставление субсидий бюджетным, автономным учреждениям и иным некоммерческим организациям</t>
  </si>
  <si>
    <t>600</t>
  </si>
  <si>
    <t>Субсидии бюджетным учреждениям</t>
  </si>
  <si>
    <t>Субсидии бюджетным учреждениям-МБУ  ДОД  "КДШИ"</t>
  </si>
  <si>
    <t>Субсидии бюджетным учреждениям-МБУ  ДОД  "ГДШИ"</t>
  </si>
  <si>
    <t>Мероприятия по развитию и поддержке клубов</t>
  </si>
  <si>
    <t>7952111</t>
  </si>
  <si>
    <t>Мероприятия по развитию и поддержке библиотек</t>
  </si>
  <si>
    <t>7952121</t>
  </si>
  <si>
    <t>СОЦИАЛЬНАЯ ПОЛИТИКА</t>
  </si>
  <si>
    <t>10</t>
  </si>
  <si>
    <t>1 11 05013 13 0000 120</t>
  </si>
  <si>
    <t>Субвенции на компенсацию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</si>
  <si>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ФИЗИЧЕСКАЯ КУЛЬТУРА И СПОРТ</t>
  </si>
  <si>
    <t xml:space="preserve">Мероприятия по развитию физической культуры и спорта </t>
  </si>
  <si>
    <t>ОБСЛУЖИВАНИЕ ГОСУДАРСТВЕННОГО И МУНИЦИПАЛЬНОГО ДОЛГА</t>
  </si>
  <si>
    <t>Процентные платежи помуниципальному долгу</t>
  </si>
  <si>
    <t>Обслуживание  муниципального долга</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</si>
  <si>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</si>
  <si>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</si>
  <si>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</si>
  <si>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Дотации на выравнивание бюджетной обеспеченности поселений из районного фонда финансовой поддержки</t>
  </si>
  <si>
    <t>Сельское хозяйство и рыболовство</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</si>
  <si>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</si>
  <si>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</si>
  <si>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Всего расходов</t>
  </si>
  <si>
    <t>за счет средств краевого  бюджета</t>
  </si>
  <si>
    <t>01 03 01 00 05 0000 710</t>
  </si>
  <si>
    <t>01 03 01 00 05 0000 810</t>
  </si>
  <si>
    <t>Субсидии бюджетным учреждениям (МБУ ДОД «КДШИ»)</t>
  </si>
  <si>
    <t>Субсидии бюджетным учреждениям  (МБУ ДОД «ГДШИ")</t>
  </si>
  <si>
    <t>Субвенции бюджетам муниципальных районов на выполнение передаваемых полномочий субъектов Российской Федерации</t>
  </si>
  <si>
    <t>1 00 00000 00 0000 000</t>
  </si>
  <si>
    <t>НАЛОГОВЫЕ И НЕНАЛОГОВЫЕ ДОХОДЫ</t>
  </si>
  <si>
    <t>1 01 00000 00 0000 000</t>
  </si>
  <si>
    <t>Мероприятия по развитию и поддержке образовательных учреждений</t>
  </si>
  <si>
    <t>Противопожарная безопасность образовательных учреждений</t>
  </si>
  <si>
    <t>Мероприятия по переподготовке и повышению квалификации</t>
  </si>
  <si>
    <t>Расходы на обеспечение деятельности (оказание услуг, выполнение работ) муниципальных  учреждений - прочие учреждения</t>
  </si>
  <si>
    <t>Подпрограмма  № 2 "Развитие дошкольного образования в Кировском муниципальном районе"</t>
  </si>
  <si>
    <t>Подпрограмма  № 3 "Безопасность образовательных учреждений"</t>
  </si>
  <si>
    <t>Санитарно-эпидемиологическая безопасность образовательных учреждений</t>
  </si>
  <si>
    <t>Подпрограмма № 1 "Развитие и поддержка муниципальных образовательных учреждений" образования"</t>
  </si>
  <si>
    <t>Подпрограмма  № 7 "Другие вопросы в области образования"</t>
  </si>
  <si>
    <t>НАЛОГИ НА ПРИБЫЛЬ, ДОХОДЫ</t>
  </si>
  <si>
    <t>Налог на доходы физических лиц</t>
  </si>
  <si>
    <t>1 05 00000 00 0000 000</t>
  </si>
  <si>
    <t>Субсидии бюджетам бюджетной системы Российской Федерации (межбюджетные субсидии)</t>
  </si>
  <si>
    <t>НАЛОГИ НА СОВОКУПНЫЙ ДОХОД</t>
  </si>
  <si>
    <t>Единый налог на вмененный доход для отдельных видов деятельности</t>
  </si>
  <si>
    <t>Единый сельскохозяйственный налог</t>
  </si>
  <si>
    <t>1 08 00000 00 0000 000</t>
  </si>
  <si>
    <t>ГОСУДАРСТВЕННАЯ ПОШЛИНА</t>
  </si>
  <si>
    <t>1 11 00000 00 0000 000</t>
  </si>
  <si>
    <t>1 12 00000 00 0000 000</t>
  </si>
  <si>
    <t>ПЛАТЕЖИ ПРИ ПОЛЬЗОВАНИИ ПРИРОДНЫМИ РЕСУРСАМИ</t>
  </si>
  <si>
    <t>Плата за негативное воздействие на окружающую среду</t>
  </si>
  <si>
    <t xml:space="preserve">1 13 00000 00 0000 000 </t>
  </si>
  <si>
    <t>ДОХОДЫ ОТ ОКАЗАНИЯ ПЛАТНЫХ УСЛУГ И КОМПЕНСАЦИИ ЗАТРАТ ГОСУДАРСТВА</t>
  </si>
  <si>
    <t>1 14 00000 00 0000 000</t>
  </si>
  <si>
    <t>ДОХОДЫ ОТ ПРОДАЖИ МАТЕРИАЛЬНЫХ И НЕМАТЕРИАЛЬНЫХ АКТИВОВ</t>
  </si>
  <si>
    <t>1 16 00000 00 0000 000</t>
  </si>
  <si>
    <t>ШТРАФЫ, САНКЦИИ, ВОЗМЕЩЕНИЕ УЩЕРБА</t>
  </si>
  <si>
    <t>2 00 00000 00 0000 000</t>
  </si>
  <si>
    <t>2 02 00000 00 0000 000</t>
  </si>
  <si>
    <t>9900004</t>
  </si>
  <si>
    <t>Муниципальная программа "Доступная среда для инвалидов в Кировском муниципальном районе на 2016-2019 годы"</t>
  </si>
  <si>
    <t>Дотации от других бюджетов бюджетной системы Российской Федерации</t>
  </si>
  <si>
    <t>610</t>
  </si>
  <si>
    <t>краевой  бюджет</t>
  </si>
  <si>
    <t>Подпрограмма  № 4 "Развитие внешкольного образования"</t>
  </si>
  <si>
    <t>Подпрограмма № 5 "Переподготовка и повышение квалификации"</t>
  </si>
  <si>
    <t>Руководство и управление в сфере установленных функций  органов местного самоуправления  (ФУ)</t>
  </si>
  <si>
    <t>Ве-домст-во</t>
  </si>
  <si>
    <t>Мероприятия по развитию физкультуры и спорта</t>
  </si>
  <si>
    <t>Субсидии организациям, образующим инфракструктуру поддержки субьектов малого и среднего предпринимательства на возмещение затрат, связанных с проведением мероприятий по повышению эффективности и конкурентноспособности субъектов малого и среднего предпринимательства</t>
  </si>
  <si>
    <t>Подпрограмма  № 1 «Развитие и поддержка муниципальных образовательных учреждений»</t>
  </si>
  <si>
    <t>Подпрограмма № 2 «Развитие дошкольного образования в Кировском муниципальном районе»</t>
  </si>
  <si>
    <t>Мероприятия по развитию и поддержке дошкольных образовательных учреждений</t>
  </si>
  <si>
    <t>Подпрограмма № 3 «Безопасность образовательных учреждений»</t>
  </si>
  <si>
    <t>Подпрограмма № 4 «Развитие внешкольного образования»</t>
  </si>
  <si>
    <t>Подпрограмма № 5 «Переподготовка и повышение кадров»</t>
  </si>
  <si>
    <t>Подпрограмма № 7 «Другие вопросы в области образования»</t>
  </si>
  <si>
    <t>Иные межбюджетные трансферты</t>
  </si>
  <si>
    <t>ВСЕГО ДОХОДОВ:</t>
  </si>
  <si>
    <t>Наименование налога    (сбора)</t>
  </si>
  <si>
    <t>01 02 00 00 00 0000 000</t>
  </si>
  <si>
    <t>Кредиты   кредитных организаций в валюте Российской Федерации</t>
  </si>
  <si>
    <t>01 02 00 00 05 0000 710</t>
  </si>
  <si>
    <t>Получение кредитов от кредитных организаций районным бюджетом в валюте Российской Федерации</t>
  </si>
  <si>
    <t>01 02 00 00 05 0000 810</t>
  </si>
  <si>
    <t>Погашение районным бюджетом кредитов от кредитных организаций в валюте Российской Федерации</t>
  </si>
  <si>
    <t>01 03 00 00 00 0000 000</t>
  </si>
  <si>
    <t>Бюджетные кредиты от других бюджетов бюджетной системы Российской Федерации</t>
  </si>
  <si>
    <t>Дотации на выравнивание бюджетной обеспеченности поселений из бюджета муниципального района</t>
  </si>
  <si>
    <t>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t>
  </si>
  <si>
    <t xml:space="preserve">Субвенции бюджетам муниципальных районов Приморского края на осуществление отдельных полномочий по расчету и предоставлению дотаций на выравнивание бюджетной обеспеченности бюджетам поселений , входящих в их состав </t>
  </si>
  <si>
    <t>Ед.изм.</t>
  </si>
  <si>
    <t>Получение бюджетных кредитов от других бюджетов бюджетной системы Российской Федерации районным бюджетом в валюте Российской Федерации</t>
  </si>
  <si>
    <t>Погашение районным бюджетом бюджетных кредитов от других бюджетов бюджетной системы Российской Федерации в валюте Российской Федерации</t>
  </si>
  <si>
    <t>ИТОГО ИСТОЧНИКОВ</t>
  </si>
  <si>
    <t>0000000000</t>
  </si>
  <si>
    <t>9999959300</t>
  </si>
  <si>
    <t>9999000070</t>
  </si>
  <si>
    <t>Межбюджетные трансферты,передаваемые бюджетам муниципальных районов на комплектование книжных фондов библиотек муниципального образования</t>
  </si>
  <si>
    <t>Администрация Кировского муниципального района</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</si>
  <si>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</si>
  <si>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111 05025 05 0000 120</t>
  </si>
  <si>
    <t>1 17 05000 00 0000 180</t>
  </si>
  <si>
    <t>ПРОЧИЕ НЕНАЛОГОВЫЕ ДОХОДЫ</t>
  </si>
  <si>
    <t>Мероприятия по предупреждению развития наркомании в районе</t>
  </si>
  <si>
    <t>1 17 05050 05 0000 180</t>
  </si>
  <si>
    <t>730</t>
  </si>
  <si>
    <t>Прочие неналоговые доходы бюджетов муниципальных районов</t>
  </si>
  <si>
    <t>9999000040</t>
  </si>
  <si>
    <t>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 входящих в их состав</t>
  </si>
  <si>
    <t>Социальная политика</t>
  </si>
  <si>
    <t>Функционирование Правительства Российской Федерации, высших исполнительных органов государственной власти субъектов Российской Федерации,      и органов местного самоуправления</t>
  </si>
  <si>
    <t>1 11 05075 05 0000 120</t>
  </si>
  <si>
    <t>Субсидии бюджетным учреждениям  (МБУ "КДЦ")</t>
  </si>
  <si>
    <t>Субсидии бюджетным учреждениям (МБУ "КДЦ")</t>
  </si>
  <si>
    <t>Иные межбюджетные трансферты на комплектование книжных фондов библиотек муниципальных образований</t>
  </si>
  <si>
    <t>Дотации бюджетам муниципальных районов на поддержку мер по обеспечению сбалансированности бюджетов</t>
  </si>
  <si>
    <t>тыс. руб.</t>
  </si>
  <si>
    <t>Массовый спорт</t>
  </si>
  <si>
    <t>Прочие межбюджетные трансферты общего характера</t>
  </si>
  <si>
    <t>Наименование</t>
  </si>
  <si>
    <t>Ведомство</t>
  </si>
  <si>
    <t>Целевая статья</t>
  </si>
  <si>
    <t>Вид расх</t>
  </si>
  <si>
    <t>в том числе:</t>
  </si>
  <si>
    <t>местный бюджет</t>
  </si>
  <si>
    <t>Учреждение: Администрация Кировского муниципального района</t>
  </si>
  <si>
    <t>Общегосударственные вопросы</t>
  </si>
  <si>
    <t>Функционирование высшего должностного лица субъекта Российской Федерации и муниципального образования</t>
  </si>
  <si>
    <t>Процентные платежи по долговым обязательствам</t>
  </si>
  <si>
    <t>Другие общегосударственные вопросы</t>
  </si>
  <si>
    <t xml:space="preserve">Непрограммные направления деятельности органов местного самоуправления </t>
  </si>
  <si>
    <t>01 05 00 00 00 0000 000</t>
  </si>
  <si>
    <t>Изменение остатков средств на счетах по учету средств</t>
  </si>
  <si>
    <t>Другие вопросы в области национальной экономики</t>
  </si>
  <si>
    <t>Коммунальное хозяйство</t>
  </si>
  <si>
    <t>Поддержка коммунального хозяйства</t>
  </si>
  <si>
    <t xml:space="preserve">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</si>
  <si>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Мобилизационная и вневойсковая подготовка</t>
  </si>
  <si>
    <t>Другие вопросы в области жилищно-коммунального хозяйства</t>
  </si>
  <si>
    <t>Образование</t>
  </si>
  <si>
    <t>Другие вопросы в области образования</t>
  </si>
  <si>
    <t xml:space="preserve">Оценка недвижимости, признание прав и регулирование отношений по государственной и муниципальной собственности </t>
  </si>
  <si>
    <t>Межбюджетные трансферты, передаваемые бюджетам муниципальных районов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</si>
  <si>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(тыс. руб. )</t>
  </si>
  <si>
    <t>НАЦИОНАЛЬНАЯ ОБОРОНА</t>
  </si>
  <si>
    <t>Субвенции на осуществление первичного воинского учета на территориях, где отсутствуют военные комиссариаты</t>
  </si>
  <si>
    <t>530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</si>
  <si>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</si>
  <si>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</si>
  <si>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</si>
  <si>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Мероприятия по предупреждению и ликвидации последствий черезвычайных ситуаций и стихийных бедствий</t>
  </si>
  <si>
    <t>НАЦИОНАЛЬНАЯ ЭКОНОМИКА</t>
  </si>
  <si>
    <t>08</t>
  </si>
  <si>
    <t>Дорожное хозяйство (дорожные фонды)</t>
  </si>
  <si>
    <t>Содержание автомобильных дорог на территории Кировского района</t>
  </si>
  <si>
    <t>12</t>
  </si>
  <si>
    <t>Подпрограмма  № 5 "Переподготовка и повышение квалификации"</t>
  </si>
  <si>
    <t>Субсидии организациям, образующим инфраструктуру поддержки субъектов малого и среднего предпринимательства, на возмещение затрат, связанных с проведением мероприятий по повышению эффективности и конкурентоспособности субъектов малого и среднего предпринимательства</t>
  </si>
  <si>
    <t>Субсидии юридическим лицам (кроме некоммерческих организаций), индивидуальным предпринимателям, физическим лицам</t>
  </si>
  <si>
    <t>810</t>
  </si>
  <si>
    <t>ЖИЛИЩНО-КОММУНАЛЬНОЕ ХОЗЯЙСТВО</t>
  </si>
  <si>
    <t>05</t>
  </si>
  <si>
    <t>Руководство и управление в сфере установленных функций органов государственной власти Приморского края</t>
  </si>
  <si>
    <t>ОБРАЗОВАНИЕ</t>
  </si>
  <si>
    <t>07</t>
  </si>
  <si>
    <t>Благоустройство</t>
  </si>
  <si>
    <t>Захоронение</t>
  </si>
  <si>
    <t>Прочие мероприятия по благоустройству</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</si>
  <si>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</si>
  <si>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Учреждение: Дума Кировского муниципального района</t>
  </si>
  <si>
    <t>Обеспечение деятельности финансовых, налоговых и таможенных органов и органов финансового (финансово-бюджетного) надзора</t>
  </si>
  <si>
    <t>Субвенции бюджетам субъектов Российской Федерации и муниципальных образований</t>
  </si>
  <si>
    <t>Дошкольное образование</t>
  </si>
  <si>
    <t>Мероприятия в сфере образования</t>
  </si>
  <si>
    <t>Охрана семьи и детства</t>
  </si>
  <si>
    <t>1 01 02000 01 0000 110</t>
  </si>
  <si>
    <t>1 12 01000 01 0000 120</t>
  </si>
  <si>
    <t>к решению Думы Кировского</t>
  </si>
  <si>
    <t>муниципального района</t>
  </si>
  <si>
    <t>РАСПРЕДЕЛЕНИЕ</t>
  </si>
  <si>
    <t>0000000</t>
  </si>
  <si>
    <t>000</t>
  </si>
  <si>
    <t>001</t>
  </si>
  <si>
    <t>006</t>
  </si>
  <si>
    <t>003</t>
  </si>
  <si>
    <t>002</t>
  </si>
  <si>
    <t>Глава муниципального образования</t>
  </si>
  <si>
    <t>Обслуживание государственного внутреннего и муниципального долга</t>
  </si>
  <si>
    <t>Транспорт</t>
  </si>
  <si>
    <t>Другие виды транспорта</t>
  </si>
  <si>
    <t>Субсидии на проведение отдельных мероприятий по другим видам транспорта</t>
  </si>
  <si>
    <t>Субвенции на создание и обеспечение деятельности комиссий по делам несовершеннолетних и защите их прав</t>
  </si>
  <si>
    <t>1 05 02000 02 0000 110</t>
  </si>
  <si>
    <t>1 05 03000 01 0000 110</t>
  </si>
  <si>
    <t>ДОХОДЫ ОТ ИСПОЛЬЗОВАНИЯ ИМУЩЕСТВА НАХОДЯЩЕГОСЯ В ГОСУДАРСТВЕННОЙ И МУНИЦИПАЛЬНОЙ СОБСТВЕННОСТИ</t>
  </si>
  <si>
    <t>Субсидии автономным учреждениям</t>
  </si>
  <si>
    <t>Субсидии из местного бюджета на содержание многофункциональных центров предоставления государственных и муниципальных услуг</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</si>
  <si>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автономных учреждений)</t>
  </si>
  <si>
    <t>Учреждение: Муниципальное казенное учреждение «Центр  обслуживания муниципальных образовательных учреждений» Кировского муниципального района Приморского края</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</si>
  <si>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автономных учреждений, а так же имущества муниципальных унитарных предприятий, в том числе казенных)</t>
  </si>
  <si>
    <t>1 13 02995 05 0000 130</t>
  </si>
  <si>
    <t>Прочие доходы от компенсации затрат бюджетов муниципальных районов</t>
  </si>
  <si>
    <t>1 14 02050 05 0000 410</t>
  </si>
  <si>
    <t>Мунипальная программа "Развитие МФЦ предоставления государственных и муниципальных услуг населению Кировского муниципального района Приморского края на 2016-2018 годы"</t>
  </si>
  <si>
    <t>Муниципальная программа "Развитие МФЦ предоставления государственных и муниципальных услуг населению Кировского муниципального района на 2016-2018 годы"</t>
  </si>
  <si>
    <t>Муниципальная программа " Доступная среда для инвалидов в Кировском муниципальном районе на 2016-2019 годы"</t>
  </si>
  <si>
    <t>Муниципальная программа " Доступная среда для инвалидов в Кировском Муниципальном районе на 2016-2019 годы"</t>
  </si>
  <si>
    <t>Субсидии бюджетным организациям</t>
  </si>
  <si>
    <t>Субвенции бюджетам муниципальных районов Приморского края  на реализацию  дошкольного, общего  и дополнительного образования в   муниципальных общеобразовательных учреждениях по основным общеобразовательным программам</t>
  </si>
  <si>
    <t xml:space="preserve">Субвенции бюджетам муниципальных районов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</si>
  <si>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0595144</t>
  </si>
  <si>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</si>
  <si>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 xml:space="preserve">Субвенции бюджетам муниципальных районов Приморского края  на осуществление отдельных государственных  полномочий по государственному управлению  охраной труда </t>
  </si>
  <si>
    <t>Субвенции бюджетам муниципальных районов Приморского края на реализацию отдельных государственных полномочий по созданию административных  комиссий</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</si>
  <si>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 же имущества муниципальных унитарных предприятий, в том числе казенных), в части реализации основных средств по указанному имуществу</t>
  </si>
  <si>
    <t>Общее образование</t>
  </si>
  <si>
    <t>Культура</t>
  </si>
  <si>
    <t xml:space="preserve">                                                                                        муниципального района</t>
  </si>
  <si>
    <t>1 03 02000 01 0000 110</t>
  </si>
  <si>
    <t>Акцизы по подакцизным товарам (продукции), производимым на территории Российской федерации</t>
  </si>
  <si>
    <t>1 03 00000 00 0000 000</t>
  </si>
  <si>
    <t>НАЛОГИ НА ТОВАРЫ (РАБОТЫ, УСЛУГИ), РЕАЛИЗУЕМЫЕ НА ТЕРРИТОРИИ РОССИЙСКОЙ ФЕДЕРАЦИИ</t>
  </si>
  <si>
    <t>1 05 04020 02 0000 110</t>
  </si>
  <si>
    <t>Налог, взимаемый в связи с применением патентной системы налогообложения, зачисляемый в бюджеты муниципальных районов</t>
  </si>
  <si>
    <t>1 08 03010 01 0000 110</t>
  </si>
  <si>
    <t>540</t>
  </si>
  <si>
    <t>Иные межбюджетные трансферты бюджетам бюджетной системы</t>
  </si>
  <si>
    <t>2 02 15001 05 0000 151</t>
  </si>
  <si>
    <t>2 02 20000 00 0000 151</t>
  </si>
  <si>
    <t>Приложение № 2</t>
  </si>
  <si>
    <t>9990051200</t>
  </si>
  <si>
    <t>Подпрограмма № 6 «Организация отдыха  детей»</t>
  </si>
  <si>
    <t>Подпрограмма № 8 "Молодежь Кировского района"</t>
  </si>
  <si>
    <t>0800092070</t>
  </si>
  <si>
    <t>3  02 40014 05 0000 151</t>
  </si>
  <si>
    <t>4  02 40014 05 0000 151</t>
  </si>
  <si>
    <t>5  02 40014 05 0000 151</t>
  </si>
  <si>
    <t>Муниципальная программа "Развитие малого и среднего предпринимательства в Кировском муниципальном районе на 2018-2022 годы"</t>
  </si>
  <si>
    <t>0900000000</t>
  </si>
  <si>
    <t>0900090960</t>
  </si>
  <si>
    <t>1000000000</t>
  </si>
  <si>
    <t>1000020140</t>
  </si>
  <si>
    <t>Муниципальная программа "Развитие образования в Кировском муниципальном районе на 2018-2022 годы"</t>
  </si>
  <si>
    <t>Муниципальная программа "Развитие образования в Кировском муниципальном районе на 2018-2022  годы"</t>
  </si>
  <si>
    <t xml:space="preserve"> Муниципальная программа "Профилактика безнадзорности, беспризорности и правонарушений несовершеннолетних на 2018-2022 годы"</t>
  </si>
  <si>
    <t>Муниципальная программа "Профилактика терроризма и экстремизма в Кировском муниципальном районе на 2018-2022 годы"</t>
  </si>
  <si>
    <t>Подпрограмма № 1 "Развитие и поддержка муниципальных образовательных учреждений"</t>
  </si>
  <si>
    <t>Муниципальная программа "Сохранение и развитие культуры в Кировском муниципальном районе на 2018-2022  годы"</t>
  </si>
  <si>
    <t>Муниципальная программа "Развитие физической культуры и спорта в Кировском муниципальном районе на 2018-2022 годы"</t>
  </si>
  <si>
    <t>Подпрограмма № 9 «Предупреждение развития наркомании в районе»</t>
  </si>
  <si>
    <t>Доплата к  пенсии  муниципальным служащим</t>
  </si>
  <si>
    <t>Муниципальная программа «Развитие образования в Кировском муниципальном районе на 2018-2022 гг.»</t>
  </si>
  <si>
    <t>Муниципальная программа "Профилактика безнадзорности, беспризорности и правонарушений несовершеннолетних на 2018-2022 годы"</t>
  </si>
  <si>
    <t>Муниципальная программа "Профилактика экстремизма и терроризма на территории Кировского района на 2018-2022 годы"</t>
  </si>
  <si>
    <t>Муниципальная программа "Сохранение и развитие культуры в Кировском муниципальном районе на 2018-2022 годы"</t>
  </si>
  <si>
    <t>Муниципальная программа "Патриотическое воспитание граждан в Кировском муниципальном районе на 2018-2022 годы"</t>
  </si>
  <si>
    <t>Муниципальная программа "Профилактика экстремизма и терроризма на территории Кировского муниципального района на 2018-2022 годы"</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</si>
  <si>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</si>
  <si>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Мероприятия в области коммунального хозяйства </t>
  </si>
  <si>
    <t>Муниципальная программа "Развитие транспортной инфраструктуры и осуществление дорожной деятельности в отношении автомобильных дорог местного значения в границах Кировского муниципального района на 2018-2022 гг."</t>
  </si>
  <si>
    <t>1000010160</t>
  </si>
  <si>
    <t>1000010162</t>
  </si>
  <si>
    <t>1000010161</t>
  </si>
  <si>
    <t>Муниципальная программа «Развитие транспортной инфраструктуры и осуществление дорожной деятельности в отношении автомобильных дорог местного значения в границах Кировского муниципального района на 2018-2022 гг.»</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</si>
  <si>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 же средства от  продажи права на заключение договоров аренды указанных земельных участков</t>
  </si>
  <si>
    <t>9990093110</t>
  </si>
  <si>
    <t>0180020000</t>
  </si>
  <si>
    <t>0700020270</t>
  </si>
  <si>
    <t>07000L0270</t>
  </si>
  <si>
    <t>Подпрограмма № 10 «Другие вопросы в области культуры на осуществление части полномочий в соответствии с  заключенными соглашениями (организация досуга и обеспечение услугами культуры)»</t>
  </si>
  <si>
    <t>иные межбюджетные трансферты (переданные полномочия поселений по культуре МКУ "ЦОМОУ")</t>
  </si>
  <si>
    <t>0640020141</t>
  </si>
  <si>
    <t>Обеспечение проведения выборов и референдумов</t>
  </si>
  <si>
    <t>Непрограммные направления деятельности муниципальных органов</t>
  </si>
  <si>
    <t>Проведение выборов в представительные органы муниципального образования</t>
  </si>
  <si>
    <t>9990010109</t>
  </si>
  <si>
    <t>Мероприятия гос.программы РФ "Доступная среда "на 2011-2020 годы (МБУ "КДЦ")</t>
  </si>
  <si>
    <t>1 14 06013 13 0000 430</t>
  </si>
  <si>
    <t>9990091030</t>
  </si>
  <si>
    <t>Иные межбюджетные трансферты бюджетам бюджетной системы (по Указу Президента Российской Федерации от 7 мая 2012 года N 597 "О мероприятиях по реализации государственной социальной политики" в части мероприятий, направленных на повышение средней заработной платы работников муниципальных учреждений культуры)</t>
  </si>
  <si>
    <t>Иные межбюджетные трансферты бюджетам городских поселений Кировского муниципального района  из местного бюджета на ремонт автомобильных дорог общего пользования местного значения в границах населенных пунктов</t>
  </si>
  <si>
    <t>1000010163</t>
  </si>
  <si>
    <t>Плата за пользование имуществом</t>
  </si>
  <si>
    <t>9990010110</t>
  </si>
  <si>
    <t>Иные межбюджетные трансферты бюджетам сельских поселений Кировского муниципального района  из местного бюджета на содержание и ремонт автомобильных дорог общего пользования местного значения в границах населенных пунктов</t>
  </si>
  <si>
    <t>1000010164</t>
  </si>
  <si>
    <t>Общий объем на 2021 г.</t>
  </si>
  <si>
    <t>Сумма 
на 2021 год</t>
  </si>
  <si>
    <t>Приложение  № 3</t>
  </si>
  <si>
    <t>1200093110</t>
  </si>
  <si>
    <t>1200012261</t>
  </si>
  <si>
    <t>1200012262</t>
  </si>
  <si>
    <t>1200012263</t>
  </si>
  <si>
    <t>1200051180</t>
  </si>
  <si>
    <t>1100000000</t>
  </si>
  <si>
    <t>1100011160</t>
  </si>
  <si>
    <t>Муниципальная программа "Энергосбережение и повышение энергетической эффективности в муниципальных учреждениях Кировского муниципального района" на 2019-2021 годы"</t>
  </si>
  <si>
    <t>1200000000</t>
  </si>
  <si>
    <t>0700020271</t>
  </si>
  <si>
    <t>0700020272</t>
  </si>
  <si>
    <t>Субвенции на осуществление первичного воинского учета на территориях, где отсутствуют военные комиссариаты (межбюджетные трансферты)</t>
  </si>
  <si>
    <t>Процентные платежи по муниципальному долгу</t>
  </si>
  <si>
    <t>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 входящих в их состав (межбюджетные трансферты)</t>
  </si>
  <si>
    <t>Финансовое обеспечение выполнения муниципального задания клубными учреждениями МБУ КДЦ Кировского муниципального района</t>
  </si>
  <si>
    <t>Финансовое обеспечение выполнения муниципального задания межпоселенческой центральной библиотекой МБУ КДЦ Кировского муниципального района</t>
  </si>
  <si>
    <t>Финансовое обеспечение выполнения муниципального задания районным музеем им. В.М. Малаева  и культурно-этнографическим музеем-комплексом "Крестьянская усадьба. Начало ХХ века." с. Подгорное МБУ КДЦ Кировского муниципального района</t>
  </si>
  <si>
    <t>Финансовое обеспечение (бухгалтерский учет) МБУ КДЦ Кировского муниципального района</t>
  </si>
  <si>
    <t>Финансовое обеспечение клубных учреждений сельских поселений (Крыловское сельское поселение, Руновское сельское поселение (оказание услуг, выполнение работ)</t>
  </si>
  <si>
    <t>Субсидии бюджетным учреждениям (КДЦ)</t>
  </si>
  <si>
    <t>Финансовое обеспечение (бухгалтерский учет) МБУ КДЦ Кировского муниципального района. Субсидии бюджетным учреждениям</t>
  </si>
  <si>
    <t>Финансовое обеспечение (бухгалтерский учет)</t>
  </si>
  <si>
    <t>Меропрятия по ликвидации МАУ "МФЦ"</t>
  </si>
  <si>
    <t>9990010120</t>
  </si>
  <si>
    <t>Общий объем на 2021 г</t>
  </si>
  <si>
    <t>Муниципальная программа "Совершенствование межбюджетных отношений и управление муниципальным долгом в Кировском муниципальном районе на 2019-2021 годы"</t>
  </si>
  <si>
    <t>1 14 06025 05 0000 430</t>
  </si>
  <si>
    <t>2 02 35930 05 0000 150</t>
  </si>
  <si>
    <t>2 02 30000 00 0000 150</t>
  </si>
  <si>
    <t>2 02 15002 05 0000 150</t>
  </si>
  <si>
    <t>2 02 35120 05 0000 150</t>
  </si>
  <si>
    <t>2 02 30024 05 0000 150</t>
  </si>
  <si>
    <t>Специальные расходы</t>
  </si>
  <si>
    <t>880</t>
  </si>
  <si>
    <t>Резервный фонд администрации Кировского муниципального района</t>
  </si>
  <si>
    <t>9990010140</t>
  </si>
  <si>
    <t>Руководство и управление в сфере установленных функций органов местного самоуправления  (УМСАиПЭ)</t>
  </si>
  <si>
    <t>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t>
  </si>
  <si>
    <t>99900М0820</t>
  </si>
  <si>
    <t>1300000000</t>
  </si>
  <si>
    <t>Основное мероприятие "Совершенствование системы противодействия коррупции в Кировском районе"</t>
  </si>
  <si>
    <t>1300013000</t>
  </si>
  <si>
    <t xml:space="preserve">Мероприятия по противодействию коррупции </t>
  </si>
  <si>
    <t>1300013360</t>
  </si>
  <si>
    <t xml:space="preserve">Субвенции бюджетам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 </t>
  </si>
  <si>
    <t>9990093130</t>
  </si>
  <si>
    <t xml:space="preserve">Содержание дорожной техники </t>
  </si>
  <si>
    <t>9990010150</t>
  </si>
  <si>
    <t>Мероприятия в области коммунального хозяйства (содержание интерната)</t>
  </si>
  <si>
    <t>Муниципальная программа "Организация обеспечения  твердым топливом населения, проживающего на территории сельских поселений Кировского муниципального района" на 2019 – 2021 годы</t>
  </si>
  <si>
    <t>1400000000</t>
  </si>
  <si>
    <t>Возмещение затрат или недополученных доходов от обеспечения граждан твердым топливом в границах Кировского  муниципального района</t>
  </si>
  <si>
    <t>1400192620</t>
  </si>
  <si>
    <t>Содержание жилых помещений, приобретаемых в рамках выполнения полномочий по обеспечению детей сирот и детей, оставшихся без попечения родителей, лиц из числа детей -сирот и детей, оставшихся без попечения родителей, жилыми помещениями</t>
  </si>
  <si>
    <t>9990010160</t>
  </si>
  <si>
    <t xml:space="preserve">Непрограммные направления деятельности </t>
  </si>
  <si>
    <t>Погашение кредиторской задолженности прошлых лет (САДЫ)</t>
  </si>
  <si>
    <t>9990010130</t>
  </si>
  <si>
    <t>Субвенции  на обеспечение   бесплатным питанием детей, обучающихся муниципальных общеобразовательных учреждениях</t>
  </si>
  <si>
    <t>0110093150</t>
  </si>
  <si>
    <t>Дополнительное образование</t>
  </si>
  <si>
    <t xml:space="preserve">Погашение кредиторской задолженности прошлых лет </t>
  </si>
  <si>
    <t>Мероприятия по обеспечению развития и укрепления материально-технической базы домов культуры в населенных пунктах с числом жителей до 50 тыс. человек</t>
  </si>
  <si>
    <t xml:space="preserve">Субсидии бюджетам муниципальных образований на обеспечение развития и укрепления материально-технической базы домов культуры в населенных пунктах с числом жителей до 50 тыс. человек </t>
  </si>
  <si>
    <t>06100R4670</t>
  </si>
  <si>
    <t>06100S4670</t>
  </si>
  <si>
    <t>Мероприятия по комплектованию книжных фондов и обеспечению информационно- техническим оборудованием библиотек</t>
  </si>
  <si>
    <t>0620000000</t>
  </si>
  <si>
    <t>0620092540</t>
  </si>
  <si>
    <t>0620020141</t>
  </si>
  <si>
    <t>Доплата к пенсиям, дополнительное пенсионное обеспечение</t>
  </si>
  <si>
    <t>Социальное обеспечение населения</t>
  </si>
  <si>
    <t>Субвенции бюджетам муниципальных образований Приморского края на меры социальной поддержки педагогическим работникам краевых государственных и муниципальных образовательных организаций Приморского края</t>
  </si>
  <si>
    <t>Капитальные вложения в объекты государственной (муниципальной собственности)</t>
  </si>
  <si>
    <t>400</t>
  </si>
  <si>
    <t>Бюджетные инвестиции</t>
  </si>
  <si>
    <t>410</t>
  </si>
  <si>
    <t>Мероприятия по развитию спортивной инфраструктуры, находящейся в муниципальной собственности</t>
  </si>
  <si>
    <t>040P592190</t>
  </si>
  <si>
    <t xml:space="preserve">Предоставление субсидий бюджетным, автономным учреждениям и иным некоммерческим организациям </t>
  </si>
  <si>
    <t>040P592191</t>
  </si>
  <si>
    <t xml:space="preserve">Мероприятия по приобретению музыкальных инструментов и художественного инвентаря для учреждений дополнительного образования детей в сфере культуры </t>
  </si>
  <si>
    <r>
      <t xml:space="preserve">Расходы на  приобретение музыкальных инструментов и художественного инвентаря для учреждений дополнительного образования детей в сфере культуры за счет средств </t>
    </r>
    <r>
      <rPr>
        <b/>
        <sz val="12"/>
        <rFont val="Times New Roman"/>
        <family val="1"/>
      </rPr>
      <t>местного бюджета</t>
    </r>
    <r>
      <rPr>
        <sz val="12"/>
        <rFont val="Times New Roman"/>
        <family val="1"/>
      </rPr>
      <t>, в целях софинансирования которых из бюджета Приморского края предоставляются субсидии</t>
    </r>
  </si>
  <si>
    <r>
      <t xml:space="preserve">Иные закупки товаров, работ и услуг для обеспечения государственных (муниципальных) нужд </t>
    </r>
    <r>
      <rPr>
        <b/>
        <sz val="12"/>
        <rFont val="Times New Roman"/>
        <family val="1"/>
      </rPr>
      <t>(отдел образования администрации КМР)</t>
    </r>
  </si>
  <si>
    <r>
      <t xml:space="preserve">Иные закупки товаров, работ и услуг для обеспечения государственных (муниципальных) нужд </t>
    </r>
    <r>
      <rPr>
        <b/>
        <sz val="12"/>
        <rFont val="Times New Roman"/>
        <family val="1"/>
      </rPr>
      <t>(МКУ "ЦОМОУ")</t>
    </r>
  </si>
  <si>
    <r>
      <t xml:space="preserve">Расходы на обеспечение развития и укрепления материально-технической базы домов культуры в населенных пунктах с числом жителей до 50 тыс. человек за счет средств </t>
    </r>
    <r>
      <rPr>
        <b/>
        <i/>
        <sz val="12"/>
        <rFont val="Times New Roman"/>
        <family val="1"/>
      </rPr>
      <t>местного бюджета</t>
    </r>
    <r>
      <rPr>
        <i/>
        <sz val="12"/>
        <rFont val="Times New Roman"/>
        <family val="1"/>
      </rPr>
      <t>, в целях софинансирования которых из бюджета Приморского края предоставляются субсидии</t>
    </r>
  </si>
  <si>
    <r>
      <t xml:space="preserve">Субсидии бюджетам муниципальных образований на комплектование книжных фондов и обеспечение информационно- техническим оборудованием библиотек </t>
    </r>
    <r>
      <rPr>
        <b/>
        <i/>
        <sz val="12"/>
        <rFont val="Times New Roman"/>
        <family val="1"/>
      </rPr>
      <t>(краевой бюджет)</t>
    </r>
  </si>
  <si>
    <r>
      <t xml:space="preserve">Расходы на комплектование книжных фондов и обеспечение информационно- техническим оборудованием библиотек за счет средств </t>
    </r>
    <r>
      <rPr>
        <b/>
        <i/>
        <sz val="12"/>
        <rFont val="Times New Roman"/>
        <family val="1"/>
      </rPr>
      <t>местного бюджета</t>
    </r>
    <r>
      <rPr>
        <i/>
        <sz val="12"/>
        <rFont val="Times New Roman"/>
        <family val="1"/>
      </rPr>
      <t>, в целях софинансирования которых из бюджета Приморского края предоставляются субсидии</t>
    </r>
  </si>
  <si>
    <r>
      <t xml:space="preserve">Субсидии бюджетам муниципальных образований Приморского края на развитие спортивной инфраструктуры, находящейся в муниципальной собственности </t>
    </r>
    <r>
      <rPr>
        <b/>
        <i/>
        <sz val="12"/>
        <rFont val="Times New Roman"/>
        <family val="1"/>
      </rPr>
      <t>(краевой бюджет)</t>
    </r>
  </si>
  <si>
    <r>
      <t xml:space="preserve">Иные закупки товаров, работ и услуг для обеспечения государственных (муниципальных) нужд </t>
    </r>
    <r>
      <rPr>
        <b/>
        <sz val="12"/>
        <rFont val="Times New Roman"/>
        <family val="1"/>
      </rPr>
      <t>(администрация КМР)</t>
    </r>
  </si>
  <si>
    <r>
      <t xml:space="preserve">Расходы на развитие спортивной инфраструктуры, находящейся в муниципальной собственности за счет средств </t>
    </r>
    <r>
      <rPr>
        <b/>
        <i/>
        <sz val="12"/>
        <rFont val="Times New Roman"/>
        <family val="1"/>
      </rPr>
      <t>местного бюджета</t>
    </r>
    <r>
      <rPr>
        <i/>
        <sz val="12"/>
        <rFont val="Times New Roman"/>
        <family val="1"/>
      </rPr>
      <t>, в целях софинансирования которых из бюджета Приморского края предоставляются субсидии</t>
    </r>
  </si>
  <si>
    <t xml:space="preserve"> Мероприятия по противодействию коррупции </t>
  </si>
  <si>
    <r>
      <t xml:space="preserve">Расходы на обеспечение развития и укрепления материально-технической базы домов культуры в населенных пунктах с числом жителей до 50 тыс. человек за счет средств </t>
    </r>
    <r>
      <rPr>
        <b/>
        <i/>
        <sz val="11"/>
        <rFont val="Times New Roman"/>
        <family val="1"/>
      </rPr>
      <t>местного бюджета</t>
    </r>
    <r>
      <rPr>
        <i/>
        <sz val="11"/>
        <rFont val="Times New Roman"/>
        <family val="1"/>
      </rPr>
      <t>, в целях софинансирования которых из бюджета Приморского края предоставляются субсидии</t>
    </r>
  </si>
  <si>
    <r>
      <t xml:space="preserve">Субсидии бюджетам муниципальных образований на комплектование книжных фондов и обеспечение информационно- техническим оборудованием библиотек </t>
    </r>
    <r>
      <rPr>
        <b/>
        <i/>
        <sz val="11"/>
        <rFont val="Times New Roman"/>
        <family val="1"/>
      </rPr>
      <t>(краевой бюджет)</t>
    </r>
  </si>
  <si>
    <r>
      <t xml:space="preserve">Расходы на комплектование книжных фондов и обеспечение информационно- техническим оборудованием библиотек за счет средств </t>
    </r>
    <r>
      <rPr>
        <b/>
        <i/>
        <sz val="11"/>
        <rFont val="Times New Roman"/>
        <family val="1"/>
      </rPr>
      <t>местного бюджета</t>
    </r>
    <r>
      <rPr>
        <i/>
        <sz val="11"/>
        <rFont val="Times New Roman"/>
        <family val="1"/>
      </rPr>
      <t>, в целях софинансирования которых из бюджета Приморского края предоставляются субсидии</t>
    </r>
  </si>
  <si>
    <t>Обеспечение детей сирот и детей, оставшихся без попечения родителей, лиц из числа детей -сирот и детей, оставшихся без попечения родителей, жилыми помещениями</t>
  </si>
  <si>
    <r>
      <t xml:space="preserve">Субсидии бюджетам муниципальных образований Приморского края на развитие спортивной инфраструктуры, находящейся в муниципальной собственности </t>
    </r>
    <r>
      <rPr>
        <b/>
        <i/>
        <sz val="11"/>
        <rFont val="Times New Roman"/>
        <family val="1"/>
      </rPr>
      <t>(краевой бюджет)</t>
    </r>
  </si>
  <si>
    <r>
      <t xml:space="preserve">Расходы на развитие спортивной инфраструктуры, находящейся в муниципальной собственности за счет средств </t>
    </r>
    <r>
      <rPr>
        <b/>
        <i/>
        <sz val="11"/>
        <rFont val="Times New Roman"/>
        <family val="1"/>
      </rPr>
      <t>местного бюджета</t>
    </r>
    <r>
      <rPr>
        <i/>
        <sz val="11"/>
        <rFont val="Times New Roman"/>
        <family val="1"/>
      </rPr>
      <t>, в целях софинансирования которых из бюджета Приморского края предоставляются субсидии</t>
    </r>
  </si>
  <si>
    <t>Учреждение: финансовое  управление администрации Кировского муниципального района</t>
  </si>
  <si>
    <r>
      <t>Субсидии бюджетам муниципальных образований на  приобретение музыкальных инструментов и художественного инвентаря для учреждений дополнительного образования детей в сфере культуры (</t>
    </r>
    <r>
      <rPr>
        <b/>
        <sz val="12"/>
        <rFont val="Times New Roman"/>
        <family val="1"/>
      </rPr>
      <t>краевой бюджет)</t>
    </r>
  </si>
  <si>
    <t xml:space="preserve">Субвенции  на обеспечение   бесплатным питанием детей, обучающихся муниципальных общеобразовательных учреждениях </t>
  </si>
  <si>
    <t>952</t>
  </si>
  <si>
    <t>953</t>
  </si>
  <si>
    <t>954</t>
  </si>
  <si>
    <t>Субсидии бюджетам муниципальных образований Приморского края на развитие спортивной инфраструктуры, находящейся в муниципальной собственности (краевой бюджет) (администрация КМР)</t>
  </si>
  <si>
    <t>0610060000</t>
  </si>
  <si>
    <t>Расходы на обеспечение развития и укрепления материально-технической базы домов культуры в населенных пунктах с числом жителей до 50 тыс. человек за счет средств местного бюджета, в целях софинансирования которых из бюджета Приморского края предоставляются субсидии</t>
  </si>
  <si>
    <t>Субсидии бюджетам муниципальных образований на комплектование книжных фондов и обеспечение информационно- техническим оборудованием библиотек (краевой бюджет)</t>
  </si>
  <si>
    <t>Расходы на комплектование книжных фондов и обеспечение информационно- техническим оборудованием библиотек за счет средств местного бюджета, в целях софинансирования которых из бюджета Приморского края предоставляются субсидии</t>
  </si>
  <si>
    <t>Муниципальная программа "Энергосбережение и повышение энергетической эффективности в муниципальных учреждениях Кировского муниципального района на 2019-2021 годы"</t>
  </si>
  <si>
    <t>Возмещение затрат или недополученных доходов от обеспечения граждан твердым топливом в границах Кировского  муниципального района (краевой бюджет)</t>
  </si>
  <si>
    <t>Возмещение затрат или недополученных доходов от обеспечения граждан твердым топливом в границах Кировского  муниципального района (местный бюджет)</t>
  </si>
  <si>
    <t>Погашение кредиторской задолженности бюджетных учреждений</t>
  </si>
  <si>
    <t xml:space="preserve">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</si>
  <si>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 же средства от продажи права на заключение договоров аренды указанных участков</t>
  </si>
  <si>
    <t>1 13 02065 05 0000 130</t>
  </si>
  <si>
    <t>Доходы, поступающие в порядке возмещения расходов, понесенных в связи с эксплуатацией имущества муниципальных районов</t>
  </si>
  <si>
    <t>2 02 15000 00 0000 150</t>
  </si>
  <si>
    <t>2 02 29999 05 0000 150</t>
  </si>
  <si>
    <t>Субсидии                                                                                                             
из краевого бюджета бюджетам муниципальных образований Приморского края на развитие спортивной инфраструктуры, находящейся в муниципальной собственности</t>
  </si>
  <si>
    <t>Субвенции  бюджетам муниципальных районов Приморского края на осуществление отдельных государственных полномочий по обеспечению   бесплатным питанием детей, обучающихся в муниципальных образовательных организациях Приморского края</t>
  </si>
  <si>
    <t>202 30024 05 0000 150</t>
  </si>
  <si>
    <t xml:space="preserve">Субвенции бюджетам муниципальных районов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t>
  </si>
  <si>
    <t>2 02 30029 05 0000 150</t>
  </si>
  <si>
    <t>2 02 40000 00 0000 150</t>
  </si>
  <si>
    <t>2  02 40014 05 0000 150</t>
  </si>
  <si>
    <t>Налог, взимаемый в связи с применением упрощенной системы налогообложения</t>
  </si>
  <si>
    <r>
      <rPr>
        <i/>
        <sz val="11"/>
        <rFont val="Times New Roman"/>
        <family val="1"/>
      </rPr>
      <t>Субсидии</t>
    </r>
    <r>
      <rPr>
        <sz val="11"/>
        <rFont val="Times New Roman"/>
        <family val="1"/>
      </rPr>
      <t xml:space="preserve"> бюджетам муниципальных образований на  приобретение музыкальных инструментов и художественного инвентаря для учреждений дополнительного образования детей в сфере культуры (краевой бюджет)</t>
    </r>
  </si>
  <si>
    <r>
      <t xml:space="preserve">Расходы на  приобретение музыкальных инструментов и художественного инвентаря для учреждений дополнительного образования детей в сфере культуры за счет средств </t>
    </r>
    <r>
      <rPr>
        <b/>
        <i/>
        <sz val="11"/>
        <rFont val="Times New Roman"/>
        <family val="1"/>
      </rPr>
      <t>местного бюджета,</t>
    </r>
    <r>
      <rPr>
        <sz val="11"/>
        <rFont val="Times New Roman"/>
        <family val="1"/>
      </rPr>
      <t xml:space="preserve"> в целях софинансирования которых из бюджета Приморского края предоставляются субсидии</t>
    </r>
  </si>
  <si>
    <t>Общий объем на 2022 г</t>
  </si>
  <si>
    <t>2 02 25467 05 0000 150</t>
  </si>
  <si>
    <t>Прочие межбюджетные трансферты общего характера (дотация на сбалансированность)</t>
  </si>
  <si>
    <t>Разница</t>
  </si>
  <si>
    <t>Субсидии бюджетам муниципальных образований Приморского края на капитальный ремонт оздоровительных лагерей, находящихся в собственности муниципальных образований</t>
  </si>
  <si>
    <t>Субсидии бюджетам муниципальных образований Приморского края на комплектование книжных фондов и обеспечение информационно - техническим оборудованием библиотек</t>
  </si>
  <si>
    <t>БЕЗВОЗМЕЗДНЫЕ ПОСТУПЛЕНИЯ</t>
  </si>
  <si>
    <t>Безвозмездные поступления от других бюджетов бюджетной системы Российской Федерации</t>
  </si>
  <si>
    <t>ИНЫЕ МЕЖБЮДЖЕТНЫЕ ТРАНСФЕРТЫ</t>
  </si>
  <si>
    <t>1100011161</t>
  </si>
  <si>
    <t>Мероприятия по строительству, реконструкции и приобретению зданий муниципальных общеобразовательных организаций (строительство школы в с. Уссурка)</t>
  </si>
  <si>
    <t>Субсидии бюджетам муниципальных образований Приморского края на строительство, реконструкцию и приобретение зданий муниципальных общеобразовательных организаций (краевой бюджет)</t>
  </si>
  <si>
    <t>Расходы на строительство, реконструкцию и приобретение зданий муниципальных общеобразовательных организаций за счет средств местного бюджета, в целях софинансирования которых из бюджета Приморского края предоставляются субсидии</t>
  </si>
  <si>
    <t xml:space="preserve">Мероприятия по капитальному ремонту оздоровительных лагерей, находящихся в собственности муниципальных образований </t>
  </si>
  <si>
    <t xml:space="preserve">Реализация государственных полномочий органов опеки и попечительства в отношении несовершеннолетних </t>
  </si>
  <si>
    <t>Реализация государственных полномочий по социальной поддержке детей, оставшихся без попечения родителей, и лиц, принявших на воспитание в семью детей, оставшихся без попечения родителей</t>
  </si>
  <si>
    <t>Реализация государственного полномочия по назначению и предоставлению выплаты единовременного пособия при передаче ребенка на воспитание в семью</t>
  </si>
  <si>
    <t>Субвенции бюджетам муниципальных районов Приморского края на реализацию государственных полномочий по социальной поддержке детей, оставшихся без попечения родителей, и лиц, принявших на воспитание в семью детей, оставшихся без попечения родителей</t>
  </si>
  <si>
    <t>1000010165</t>
  </si>
  <si>
    <t>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t>
  </si>
  <si>
    <t>Субсидии бюджетам муниципальных образований Приморского края на строительство, реконструкцию и приобретение зданий муниципальных общеобразовательных организаций</t>
  </si>
  <si>
    <t>Мероприятия по строительству, реконструкции и приобретению зданий муниципальных общеобразовательных организаций</t>
  </si>
  <si>
    <r>
      <t>Субсидии бюджетам муниципальных образований на  капитальный ремонт оздоровительных лагерей, находящихся в собственности муниципальных образований (</t>
    </r>
    <r>
      <rPr>
        <b/>
        <sz val="12"/>
        <rFont val="Times New Roman"/>
        <family val="1"/>
      </rPr>
      <t>краевой бюджет)</t>
    </r>
  </si>
  <si>
    <r>
      <t xml:space="preserve">Расходы на  капитальный ремонт оздоровительных лагерей, находящихся в собственности муниципальных образований за счет средств </t>
    </r>
    <r>
      <rPr>
        <b/>
        <sz val="12"/>
        <rFont val="Times New Roman"/>
        <family val="1"/>
      </rPr>
      <t>местного бюджета</t>
    </r>
    <r>
      <rPr>
        <sz val="12"/>
        <rFont val="Times New Roman"/>
        <family val="1"/>
      </rPr>
      <t>, в целях софинансирования которых из бюджета Приморского края предоставляются субсидии</t>
    </r>
  </si>
  <si>
    <r>
      <t>Субсидии бюджетам муниципальных образований на  капитальный ремонт оздоровительных лагерей, находящихся в собственности муниципальных образований (</t>
    </r>
    <r>
      <rPr>
        <b/>
        <sz val="11"/>
        <rFont val="Times New Roman"/>
        <family val="1"/>
      </rPr>
      <t>краевой бюджет)</t>
    </r>
  </si>
  <si>
    <r>
      <t xml:space="preserve">Расходы на  капитальный ремонт оздоровительных лагерей, находящихся в собственности муниципальных образований за счет средств </t>
    </r>
    <r>
      <rPr>
        <b/>
        <sz val="11"/>
        <rFont val="Times New Roman"/>
        <family val="1"/>
      </rPr>
      <t>местного бюджета</t>
    </r>
    <r>
      <rPr>
        <sz val="11"/>
        <rFont val="Times New Roman"/>
        <family val="1"/>
      </rPr>
      <t>, в целях софинансирования которых из бюджета Приморского края предоставляются субсидии</t>
    </r>
  </si>
  <si>
    <t xml:space="preserve">Субвенции бюджетам муниципальных районов Приморского края на реализацию государственных полномочий органов опеки и попечительства в отношении несовершеннолетних </t>
  </si>
  <si>
    <t>0110092040</t>
  </si>
  <si>
    <t>0110020044</t>
  </si>
  <si>
    <t>011Е593140</t>
  </si>
  <si>
    <t>0190020041</t>
  </si>
  <si>
    <t>0140092030</t>
  </si>
  <si>
    <t>0300030363</t>
  </si>
  <si>
    <t>Иные межбюджетные трансферты общего характера (в целях компенсации расходов в связи с увеличением ставки налога на имущество организаций в отношении объектов социально-культурной сферы)</t>
  </si>
  <si>
    <t>9990093160</t>
  </si>
  <si>
    <t>9990093050</t>
  </si>
  <si>
    <t>9990052600</t>
  </si>
  <si>
    <t>Расходы на подготовку документации для выхода на аукцион на право проведения проектно-изыскательских работ по строительству здания муниципальной общеобразовательной организации (с. Уссурка)</t>
  </si>
  <si>
    <r>
      <t xml:space="preserve">Субсидии бюджетам муниципальных образований Приморского края на строительство, реконструкцию и приобретение зданий муниципальных общеобразовательных организаций </t>
    </r>
    <r>
      <rPr>
        <b/>
        <sz val="12"/>
        <rFont val="Times New Roman"/>
        <family val="1"/>
      </rPr>
      <t>(краевой бюджет)</t>
    </r>
  </si>
  <si>
    <r>
      <t xml:space="preserve">Расходы на строительство, реконструкцию и приобретение зданий муниципальных общеобразовательных организаций за счет средств </t>
    </r>
    <r>
      <rPr>
        <b/>
        <sz val="12"/>
        <rFont val="Times New Roman"/>
        <family val="1"/>
      </rPr>
      <t>местного бюджета</t>
    </r>
    <r>
      <rPr>
        <sz val="12"/>
        <rFont val="Times New Roman"/>
        <family val="1"/>
      </rPr>
      <t>, в целях софинансирования которых из бюджета Приморского края предоставляются субсидии</t>
    </r>
  </si>
  <si>
    <t>Мероприятия по предупреждению терроризма (администрация)</t>
  </si>
  <si>
    <t>Молодежная политика</t>
  </si>
  <si>
    <r>
      <t xml:space="preserve">Субсидии бюджетам муниципальных образований Приморского края на строительство, реконструкцию и приобретение зданий муниципальных общеобразовательных организаций </t>
    </r>
    <r>
      <rPr>
        <b/>
        <sz val="11"/>
        <rFont val="Times New Roman"/>
        <family val="1"/>
      </rPr>
      <t>(краевой бюджет)</t>
    </r>
  </si>
  <si>
    <r>
      <t xml:space="preserve">Расходы на строительство, реконструкцию и приобретение зданий муниципальных общеобразовательных организаций за счет средств </t>
    </r>
    <r>
      <rPr>
        <b/>
        <sz val="11"/>
        <rFont val="Times New Roman"/>
        <family val="1"/>
      </rPr>
      <t>местного бюджета</t>
    </r>
    <r>
      <rPr>
        <sz val="11"/>
        <rFont val="Times New Roman"/>
        <family val="1"/>
      </rPr>
      <t>, в целях софинансирования которых из бюджета Приморского края предоставляются субсидии</t>
    </r>
  </si>
  <si>
    <t>2 02 35260 05 0000 150</t>
  </si>
  <si>
    <t>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воспитания в семью</t>
  </si>
  <si>
    <t>202 35260 05 0000 150</t>
  </si>
  <si>
    <t>Меры социальной поддержки детей, оставшихся без попечения родителей, и лиц, принявших на воспитание в семью детей, оставшихся без попечения родителей</t>
  </si>
  <si>
    <t>Меры социальной поддержки педагогическим работникам муниципальных образовательных организаций Кировского муниципального района</t>
  </si>
  <si>
    <t>Выплата единовременного пособия при всех формах устройства детей, лишенных родительского попечения, в семью</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</si>
  <si>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</si>
  <si>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Меры по организации и обеспечению оздоровления и отдыха детей ( за исключением организации и обеспечение оздоровления и отдыха детей в каникулярное время)</t>
  </si>
  <si>
    <t>Субсидии юридическим лицам (кроме некоммерческих организаций), индивидуальным предпринимателям</t>
  </si>
  <si>
    <r>
      <t xml:space="preserve">Субсидии юридическим лицам (кроме некоммерческих организаций), индивидуальным предпринимателям </t>
    </r>
    <r>
      <rPr>
        <b/>
        <sz val="12"/>
        <rFont val="Times New Roman"/>
        <family val="1"/>
      </rPr>
      <t>(краевой бюджет)</t>
    </r>
  </si>
  <si>
    <r>
      <t xml:space="preserve">Субсидии юридическим лицам (кроме некоммерческих организаций), индивидуальным предпринимателям </t>
    </r>
    <r>
      <rPr>
        <b/>
        <sz val="12"/>
        <rFont val="Times New Roman"/>
        <family val="1"/>
      </rPr>
      <t>(местный бюджет)</t>
    </r>
  </si>
  <si>
    <r>
      <t xml:space="preserve">Субсидии юридическим лицам (кроме некоммерческих организаций), индивидуальным предпринимателям </t>
    </r>
    <r>
      <rPr>
        <b/>
        <sz val="11"/>
        <rFont val="Times New Roman"/>
        <family val="1"/>
      </rPr>
      <t>(краевой бюджет)</t>
    </r>
  </si>
  <si>
    <r>
      <t xml:space="preserve">Субсидии юридическим лицам (кроме некоммерческих организаций), индивидуальным предпринимателям </t>
    </r>
    <r>
      <rPr>
        <b/>
        <sz val="11"/>
        <rFont val="Times New Roman"/>
        <family val="1"/>
      </rPr>
      <t>(местный бюджет)</t>
    </r>
  </si>
  <si>
    <t>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t>
  </si>
  <si>
    <t>Субсидии бюджетам муниципальных образований Приморского края на обеспечение граждан твердым топливом</t>
  </si>
  <si>
    <t>1000092390</t>
  </si>
  <si>
    <t>Мероприятия по организации физкультурно-спортивной работы по месту жительства</t>
  </si>
  <si>
    <t xml:space="preserve">Мероприятия по развитию спортивной инфрастурктуры (краевой бюджет) </t>
  </si>
  <si>
    <t xml:space="preserve">Мероприятия по развитию спортивной инфрастурктуры  (местный бюджет) </t>
  </si>
  <si>
    <t>040Р592220</t>
  </si>
  <si>
    <t>041Р592220</t>
  </si>
  <si>
    <t>Капитальный ремонт и ремонт автомобильных дорог общего пользования населенных пунктов</t>
  </si>
  <si>
    <r>
      <t xml:space="preserve">Субсидии бюджетам муниципальных образований Приморского края на организацию физкультурно-спортивной работы по месту жительства </t>
    </r>
    <r>
      <rPr>
        <b/>
        <i/>
        <sz val="11"/>
        <rFont val="Times New Roman"/>
        <family val="1"/>
      </rPr>
      <t>(краевой бюджет)</t>
    </r>
  </si>
  <si>
    <r>
      <t xml:space="preserve">Расходы на организацию физкультурно-спортивной работы по месту жительства за счет средств </t>
    </r>
    <r>
      <rPr>
        <b/>
        <i/>
        <sz val="11"/>
        <rFont val="Times New Roman"/>
        <family val="1"/>
      </rPr>
      <t>местного бюджета</t>
    </r>
    <r>
      <rPr>
        <i/>
        <sz val="11"/>
        <rFont val="Times New Roman"/>
        <family val="1"/>
      </rPr>
      <t>, в целях софинансирования которых из бюджета Приморского края предоставляются субсидии</t>
    </r>
  </si>
  <si>
    <r>
      <t xml:space="preserve">Субсидии бюджетам муниципальных образований Приморского края на организацию физкультурно-спортивной работы по месту жительства </t>
    </r>
    <r>
      <rPr>
        <b/>
        <i/>
        <sz val="12"/>
        <rFont val="Times New Roman"/>
        <family val="1"/>
      </rPr>
      <t>(краевой бюджет)</t>
    </r>
  </si>
  <si>
    <r>
      <t xml:space="preserve">Расходы на организацию физкультурно-спортивной работы по месту жительства за счет средств </t>
    </r>
    <r>
      <rPr>
        <b/>
        <i/>
        <sz val="12"/>
        <rFont val="Times New Roman"/>
        <family val="1"/>
      </rPr>
      <t>местного бюджета</t>
    </r>
    <r>
      <rPr>
        <i/>
        <sz val="12"/>
        <rFont val="Times New Roman"/>
        <family val="1"/>
      </rPr>
      <t>, в целях софинансирования которых из бюджета Приморского края предоставляются субсидии</t>
    </r>
  </si>
  <si>
    <t>0640092480</t>
  </si>
  <si>
    <t>0640192480</t>
  </si>
  <si>
    <t>Реализация государственных полномочий по организации мероприятий при осуществлении деятельности по обращению с животными без владельцев</t>
  </si>
  <si>
    <t>1200012264</t>
  </si>
  <si>
    <t>Субвенции для финансового обеспечения переданных исполнительно-распорядительным органам муниципальных образований Приморского края государственных полномочий по составлению (изменению) списков кандидатов  в присяжные заседатели федеральных судов общей юрисдикции</t>
  </si>
  <si>
    <t>Субвенции бюджетам муниципальных   районов на осуществление полномочий Российской Федерации по государственной регистрации актов гражданского состояния</t>
  </si>
  <si>
    <t>Субвенции бюджетам муниципальных образований Приморского края на 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</si>
  <si>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Субвенции бюджетам муниципальных образований Приморского края на организацию и обеспечение оздоровления и отдыха детей Приморского края (за исключением организации отдыха детей в каникулярное время)</t>
  </si>
  <si>
    <t>Составление (изменение) списков кандидатов  в присяжные заседатели федеральных судов общей юрисдикции</t>
  </si>
  <si>
    <t>Субвенции на организацию и обеспечение оздоровления и отдыха детей Приморского края (за исключением организации отдыха детей в каникулярное время)</t>
  </si>
  <si>
    <t>Субвенции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</si>
  <si>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0110Б92040</t>
  </si>
  <si>
    <t>0140Б92030</t>
  </si>
  <si>
    <t>1400Б92620</t>
  </si>
  <si>
    <t>1000Б92390</t>
  </si>
  <si>
    <t>2  02 49999 05 0000 150</t>
  </si>
  <si>
    <t xml:space="preserve">Иные межбюджетные трансферты                                                                                                                бюджетам муниципальных образований Приморского края на оказание содействия в подготовке проведения общероссийского  голосования, а также в информировании граждан Российской Федерации о такой подготовке </t>
  </si>
  <si>
    <t>Капитальный ремонт и ремонт автомобильных дорог общего пользования населенных пунктов за счет дорожного фонда Приморского края</t>
  </si>
  <si>
    <t>Расходы на капитальный ремонт и ремонт автомобильных дорог общего пользования населенных пунктов за счет дорожного фонда Кировского муниципального района в целях софинансирования субсидии из краевого бюджета</t>
  </si>
  <si>
    <t xml:space="preserve">Субсидии бюджетным учреждениям (краевой бюджет) </t>
  </si>
  <si>
    <t xml:space="preserve">Субсидии бюджетным учреждениям (местный бюджет) </t>
  </si>
  <si>
    <t>999W994020</t>
  </si>
  <si>
    <t>999W910170</t>
  </si>
  <si>
    <t>Мероприятия, направленные на предупреждение распространения новой коронавирусной инфекции</t>
  </si>
  <si>
    <t>9990010141</t>
  </si>
  <si>
    <t>0400040470</t>
  </si>
  <si>
    <t>0400040461</t>
  </si>
  <si>
    <t>0400040462</t>
  </si>
  <si>
    <t>0400040463</t>
  </si>
  <si>
    <t>Расходы на подготовку сметной документации, прохождение экспертизы и иные расходы по спортивным объектам</t>
  </si>
  <si>
    <t>Мероприятия по приобретению и поставке спортивного инвентаря, спортивного оборудования и иного имущества для развития лыжного спорта</t>
  </si>
  <si>
    <t>040P592180</t>
  </si>
  <si>
    <r>
      <t>Субсидии бюджетам муниципальных образований Приморского края на приобретение и поставку спортивного инвентаря, спортивного оборудования и иного имущества для развития лыжного спорта</t>
    </r>
    <r>
      <rPr>
        <b/>
        <i/>
        <sz val="12"/>
        <rFont val="Times New Roman"/>
        <family val="1"/>
      </rPr>
      <t>(краевой бюджет)</t>
    </r>
  </si>
  <si>
    <t>Расходы на приобретение и поставку спортивного инвентаря, спортивного оборудования и иного имущества для развития лыжного спорта за счет средств местного бюджета, в целях софинансирования которых из бюджета Приморского края предоставляются субсидии</t>
  </si>
  <si>
    <t>040P592181</t>
  </si>
  <si>
    <t>Субсидии бюджетам муниципальных образований Приморского края на приобретение и поставку спортивного инвентаря, спортивного оборудования и иного имущества для развития лыжного спорта(краевой бюджет)</t>
  </si>
  <si>
    <r>
      <t>Субсидии бюджетам муниципальных образований Приморского края на приобретение и поставку спортивного инвентаря, спортивного оборудования и иного имущества для развития лыжного спорта</t>
    </r>
    <r>
      <rPr>
        <b/>
        <i/>
        <sz val="11"/>
        <rFont val="Times New Roman"/>
        <family val="1"/>
      </rPr>
      <t>(краевой бюджет)</t>
    </r>
  </si>
  <si>
    <t xml:space="preserve">Содействие в подготовке проведения общероссийского  голосования, а также в информировании граждан Российской Федерации о такой подготовке (иные межбюджетные трансферты за счет бюджета Приморского края) </t>
  </si>
  <si>
    <t xml:space="preserve">Содействие в подготовке проведения общероссийского  голосования, а также в информировании граждан Российской Федерации о такой подготовке (местный бюджет) </t>
  </si>
  <si>
    <t>Расходы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</si>
  <si>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999W958530</t>
  </si>
  <si>
    <t xml:space="preserve">Содействие в подготовке проведения общероссийского  голосования, а также в информировании граждан Российской Федерации о такой подготовке  (иные межбюджетные трансферты за счет бюджета Приморского края) </t>
  </si>
  <si>
    <t xml:space="preserve">Прочие субсидии бюджетам муниципальных районов
</t>
  </si>
  <si>
    <t>Субсидии бюджетам муниципальных образований Приморского края  на приобретение музыкальных инструментов и художественного инвентаря для учреждений дополнительного образования детей в сфере культуры</t>
  </si>
  <si>
    <t xml:space="preserve">Субсидии бюджетам муниципальных образований Приморского края на приобретение и поставку спортивного инвентаря, спортивного оборудования и иного имущества для развития лыжного спорта </t>
  </si>
  <si>
    <t>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t>
  </si>
  <si>
    <t xml:space="preserve">Субсидии бюджетам муниципальных образований Приморского края на организацию физкультурно-спортивной работы по месту жительства </t>
  </si>
  <si>
    <t>2 02 15853 05 0000 150</t>
  </si>
  <si>
    <t>Дотации  бюджетам муниципальных районов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</si>
  <si>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Расходы на приобретение светового, звукового и мультимедийного (светодиодного экрана с комплектующими) оборудования  за счет средств местного бюджета, в целях софинансирования которых из бюджета Приморского края предоставляются субсидии</t>
  </si>
  <si>
    <t>2  02 45303 05 0000 150</t>
  </si>
  <si>
    <t>2 02 35304 05 0000 150</t>
  </si>
  <si>
    <t>Субвенции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</si>
  <si>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</si>
  <si>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 xml:space="preserve">Доходы от продажи земельных участков, государственная собственность на которые не разграничена и которые расположены в границах городских поселений </t>
  </si>
  <si>
    <t>Мероприятия, направленные на ликвидацию чрезвычайной ситуации в связи с появлением очагов африканской чумы свиней на территории Кировского муниципального района</t>
  </si>
  <si>
    <t>9990010142</t>
  </si>
  <si>
    <t>Субвенции на государственную регистрацию актов гражданского состояния за счет средств резервного фонда Правительства Российской Федерации</t>
  </si>
  <si>
    <t>999995930F</t>
  </si>
  <si>
    <t>Субвенции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</si>
  <si>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01100R3041</t>
  </si>
  <si>
    <t>0110053030</t>
  </si>
  <si>
    <t xml:space="preserve">Объемы доходов районного бюджета на  2021 год 
</t>
  </si>
  <si>
    <t>1 05 01000 01 0000 110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</si>
  <si>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</si>
  <si>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 xml:space="preserve"> бюджетных ассигнований на исполнение публичных нормативных обязательств на 2021-2023  годы  по разделам</t>
  </si>
  <si>
    <t>Распределение бюджетных ассигнований из районного бюджета на 2021 год по муниципальным программам Кировского  муниципального района и непрограммным направлениям деятельности</t>
  </si>
  <si>
    <t>1500000000</t>
  </si>
  <si>
    <t xml:space="preserve">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 </t>
  </si>
  <si>
    <t>Социальная поддержка детей, оставшихся без попечения родителей, и лиц, принявших на воспитание в семью детей, оставшихся без попечения родителей</t>
  </si>
  <si>
    <t>Назначение и предоставление выплаты единовременного пособия при передаче ребенка на воспитание в семью</t>
  </si>
  <si>
    <t>1501093050</t>
  </si>
  <si>
    <t>1502052600</t>
  </si>
  <si>
    <t>15030М0820</t>
  </si>
  <si>
    <t>Мероприятия по переподготовке и повышению кадров</t>
  </si>
  <si>
    <t>Расходы на капитальный ремонт зданий муниципальных общеобразовательных учреждений, в целях софинансирования которых из бюджета Приморского края предоставляются субсидии</t>
  </si>
  <si>
    <t>0110Б92340</t>
  </si>
  <si>
    <t>06100Б0000</t>
  </si>
  <si>
    <t>955</t>
  </si>
  <si>
    <t>956</t>
  </si>
  <si>
    <t>957</t>
  </si>
  <si>
    <t>958</t>
  </si>
  <si>
    <t>963</t>
  </si>
  <si>
    <t>967</t>
  </si>
  <si>
    <t>971</t>
  </si>
  <si>
    <t>974</t>
  </si>
  <si>
    <t>1004</t>
  </si>
  <si>
    <t>1007</t>
  </si>
  <si>
    <t>1008</t>
  </si>
  <si>
    <t>1015</t>
  </si>
  <si>
    <t>Муниципальная программа «Комплексное развитие сельских территорий в Кировском муниципальном районе на 2021-2027 годы»</t>
  </si>
  <si>
    <t>Муниципальная программа "Противодействия коррупции в администрации Кировского муниципального района на 2021-2022 годы"</t>
  </si>
  <si>
    <t xml:space="preserve">Источники внутреннего финансирования дефицита районного бюджета на 2021 год </t>
  </si>
  <si>
    <t>Сумма на 2021 г.</t>
  </si>
  <si>
    <t xml:space="preserve">Муниципальная программа «Комплексное развитие сельских территорий" в Кировском муниципальном районе на 2021-2027 годы </t>
  </si>
  <si>
    <t xml:space="preserve">бюджетных ассигнований из районного бюджета на 2021 год в ведомственной структуре расходов районного бюджета </t>
  </si>
  <si>
    <t xml:space="preserve">бюджетных ассигнований из районного бюджета на 2021  год  по разделам, </t>
  </si>
  <si>
    <t xml:space="preserve">Муниципальная программа "Комплексное развитие сельских территорий" в Кировском муниципальном районе на 2021-2027 годы </t>
  </si>
  <si>
    <t>Общий объем на 2023 г</t>
  </si>
  <si>
    <t>Сумма на 
2021 год (первое чтение)</t>
  </si>
  <si>
    <t xml:space="preserve">Субсидии на обеспечение развития и укрепления материально-технической базы муниципальных домов культуры в населенных пунктах с числом жителей до 50 тысяч человек </t>
  </si>
  <si>
    <t>2 02 35469 05 0000 150</t>
  </si>
  <si>
    <t>Субвенции на проведение Всероссийской переписи населения</t>
  </si>
  <si>
    <t>Единая субвенция местным бюджетам из краевого бюджета</t>
  </si>
  <si>
    <t>Субвенции на проведение Всероссийской переписи</t>
  </si>
  <si>
    <t>9999993000</t>
  </si>
  <si>
    <t>9999954690</t>
  </si>
  <si>
    <t>Предоставление субсидий бюджетным, автономным учреждениям и иным некоммерческим организациям (ВЫПОЛНЕНИЕ НАКАЗОВ ИЗБИРАТЕЛЕЙ)</t>
  </si>
  <si>
    <t>Непрограммные направления деятельности органов местного самоуправления (дошкольное образование)</t>
  </si>
  <si>
    <t>Непрограммные направления деятельности органов местного самоуправления (общее  образование)</t>
  </si>
  <si>
    <t>Выполнение наказов избирателей(дошкольное образование)</t>
  </si>
  <si>
    <t>0110030041</t>
  </si>
  <si>
    <t>Мероприятия по развитию и поддержке образовательных учреждений (наказы избирателей)</t>
  </si>
  <si>
    <t>0120030041</t>
  </si>
  <si>
    <t>0140030041</t>
  </si>
  <si>
    <t>Мероприятия по развитию и поддержке внешкольного образования МБУ ДОД "ДЮЦ" (наказы избирателей)</t>
  </si>
  <si>
    <t>Субсидии бюджетным учреждениям (НАКАЗЫ ИЗБИРАТЕЛЕЙ)</t>
  </si>
  <si>
    <t>Мероприятия по развитию и поддержке образовательных учреждений (НАКАЗЫ ИЗБИРАТЕЛЕЙ)</t>
  </si>
  <si>
    <t>Мероприятия по развитию и поддержке дошкольных образовательных учреждений (наказы избирателей)</t>
  </si>
  <si>
    <t>Муниципальная программа "Социальная поддержка детей-сирот и детей, оставшихся без попечения родителей, лиц из числа детей-сирот и детей, оставшихся без попечения родителей, и лиц, принявших на воспитание в семью детей, оставшихся без попечения родителей в Кировском муниципальном районе на 2021-2025 годы"</t>
  </si>
  <si>
    <t xml:space="preserve">Сумма на 
2021 год </t>
  </si>
  <si>
    <t>Субсидии бюджетам муниципальных образований Приморского края на реализацию проектов инициативного бюджетирования по направлению "Твой проект"</t>
  </si>
  <si>
    <t>2 02 36900 05 0000 150</t>
  </si>
  <si>
    <t>Единая субвенция бюджетам муниципальных районов из бюджета субъекта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</si>
  <si>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 же средства от продажи права на заключение договоров аренды указанных участков</t>
  </si>
  <si>
    <t>1100011162</t>
  </si>
  <si>
    <t>Мероприятия в сфере повышения энергетической эффективности (администрация)</t>
  </si>
  <si>
    <t>Субсидии бюджетным учреждениям (образовательные учреждения)</t>
  </si>
  <si>
    <t>Субсидии бюджетным учреждениям (МБУ КДЦ КМР)</t>
  </si>
  <si>
    <t>Мероприятия в сфере образования (бюджетные образовательные учреждения)</t>
  </si>
  <si>
    <t>Мероприятия по развитию и поддержке учреждений дополнительного образования</t>
  </si>
  <si>
    <t>0140020045</t>
  </si>
  <si>
    <t>Мероприятия по ликвидации учреждений</t>
  </si>
  <si>
    <t>9990010180</t>
  </si>
  <si>
    <t>Мероприятия в сфере повышения энергетической эффективности (ЦОМОУ)</t>
  </si>
  <si>
    <t>1100011163</t>
  </si>
  <si>
    <t>0160020041</t>
  </si>
  <si>
    <t>Организация и обеспечение оздоровления и летнего отдыха детей Кировского муниципального района за счет средств местного бюджета</t>
  </si>
  <si>
    <t>Возмещение затрат или недополученных доходов от предоставления транспортных услуг населению в границах Кировского  муниципального района (изготовление бланков по пассажирским перевозкам)</t>
  </si>
  <si>
    <t>Субсидии бюджетным учреждениям (МБОУ ДО "ДЮСШ "Патриот" п. Кировский)</t>
  </si>
  <si>
    <t>0140020046</t>
  </si>
  <si>
    <t>0140020047</t>
  </si>
  <si>
    <t>0140020048</t>
  </si>
  <si>
    <t>0140020049</t>
  </si>
  <si>
    <t>0140020050</t>
  </si>
  <si>
    <t>0140020051</t>
  </si>
  <si>
    <t>0140020052</t>
  </si>
  <si>
    <t>0140020053</t>
  </si>
  <si>
    <t>004</t>
  </si>
  <si>
    <t>005</t>
  </si>
  <si>
    <t>007</t>
  </si>
  <si>
    <t>008</t>
  </si>
  <si>
    <t>009</t>
  </si>
  <si>
    <t>010</t>
  </si>
  <si>
    <t>Субсидии бюджетным учреждениям на создание Муниципального опорного центра дополнительного образования детей Кировского муниципального района (МБОУ ДО "ДЮСШ "Патриот" п. Кировский)</t>
  </si>
  <si>
    <t>3 02 29999 05 0000 150</t>
  </si>
  <si>
    <t>4 02 29999 05 0000 150</t>
  </si>
  <si>
    <t>Субсидии  из краевого бюджета бюджетам муниципальных образований Приморского края на укрепление материально-технической базы муниципальных домов культуры</t>
  </si>
  <si>
    <t>011Е193140</t>
  </si>
  <si>
    <t>Мероприятия по укреплению материально-технической базы муниципальных домов культуры</t>
  </si>
  <si>
    <t>Субсидии бюджетам муниципальных образований на укрепление материально-технической базы домов культуры за счет средств краевого бюджета</t>
  </si>
  <si>
    <t>Расходы на укрепление материально-технической базы домов культуры за счет средств местного бюджета, в целях софинансирования которых из бюджета Приморского края предоставляются субсидии</t>
  </si>
  <si>
    <t>0610092470</t>
  </si>
  <si>
    <t>06100S2470</t>
  </si>
  <si>
    <t xml:space="preserve">Реализация полномочий Российской Федерации по государственной регистрации актов гражданского состояния за счет средств краевого бюджета
</t>
  </si>
  <si>
    <t xml:space="preserve">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
</t>
  </si>
  <si>
    <t>9999993180</t>
  </si>
  <si>
    <t>4 02 30024 05 0000 150</t>
  </si>
  <si>
    <t>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за счет средств краевого бюджета</t>
  </si>
  <si>
    <t>06000000000</t>
  </si>
  <si>
    <t>2 02 39999 05 0000 150</t>
  </si>
  <si>
    <t>Прочие субвенции бюджетам муниципальных районов</t>
  </si>
  <si>
    <t>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за счет средств местного бюджета (школы)</t>
  </si>
  <si>
    <t xml:space="preserve">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дошкольного образования за счет средств местного бюджета </t>
  </si>
  <si>
    <t>9990093190</t>
  </si>
  <si>
    <t>0300030364</t>
  </si>
  <si>
    <t>Субсидии бюджетным учреждениям  (МБОУ ДОД ДЮЦ)</t>
  </si>
  <si>
    <t>Субсидии бюджетным учреждениям (МБОУ ДО "ДЮСШ "Патриот" п. Кировский, МБОУ ДОД ДЮЦ)</t>
  </si>
  <si>
    <t>Приложение  № 6</t>
  </si>
  <si>
    <t>Содействие в подготовке проведения выборов</t>
  </si>
  <si>
    <t>9990010190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</si>
  <si>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</si>
  <si>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Субвенции бюджетам муниципальных образований Приморского края на осуществление отдельного государственного полномочия по возмещению специализированным службам по вопросам похоронного дела стоимости услуг по погребению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а также в случае рождения мертвого ребенка по истечении 154 дней беременности, предоставляемых согласно гарантированному перечню услуг по погребению </t>
  </si>
  <si>
    <t xml:space="preserve">Субвенции бюджетам муниципальных образований Приморского края на осуществление отдельного государственного полномочия по возмещению специализированным службам по вопросам похоронного дела стоимости услуг по погребению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а также в случае рождения мертвого ребенка по истечении 154 дней беременности, предоставляемых согласно гарантированному перечню услуг по погребению  </t>
  </si>
  <si>
    <t xml:space="preserve">Возмещение специализированным службам по вопросам похоронного дела стоимости услуг по погребению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а также в случае рождения мертвого ребенка по истечении 154 дней беременности, предоставляемых согласно гарантированному перечню услуг по погребению </t>
  </si>
  <si>
    <t>0400040471</t>
  </si>
  <si>
    <t>0400040472</t>
  </si>
  <si>
    <t>0400040473</t>
  </si>
  <si>
    <t>0400040474</t>
  </si>
  <si>
    <t>0400040475</t>
  </si>
  <si>
    <t>0400040476</t>
  </si>
  <si>
    <t>0400040477</t>
  </si>
  <si>
    <t>0400040478</t>
  </si>
  <si>
    <t>0400040479</t>
  </si>
  <si>
    <t>0400040480</t>
  </si>
  <si>
    <t>0400040481</t>
  </si>
  <si>
    <t>0400040482</t>
  </si>
  <si>
    <t>0400040483</t>
  </si>
  <si>
    <t>0400040484</t>
  </si>
  <si>
    <r>
      <t xml:space="preserve">Мероприятия по развитию и поддержке образовательных учреждений </t>
    </r>
    <r>
      <rPr>
        <b/>
        <sz val="11"/>
        <rFont val="Times New Roman"/>
        <family val="1"/>
      </rPr>
      <t>(местный бюджет)</t>
    </r>
  </si>
  <si>
    <r>
      <t xml:space="preserve">Мероприятия по развитию и поддержке образовательных учреждений </t>
    </r>
    <r>
      <rPr>
        <b/>
        <sz val="11"/>
        <rFont val="Times New Roman"/>
        <family val="1"/>
      </rPr>
      <t>(краевой бюджет)</t>
    </r>
  </si>
  <si>
    <r>
      <t xml:space="preserve">Мероприятия по развитию и поддержке дошкольных образовательных учреждений </t>
    </r>
    <r>
      <rPr>
        <b/>
        <sz val="11"/>
        <rFont val="Times New Roman"/>
        <family val="1"/>
      </rPr>
      <t>(краевой бюджет)</t>
    </r>
  </si>
  <si>
    <r>
      <t xml:space="preserve">Мероприятия по развитию и поддержке дошкольных образовательных учреждений </t>
    </r>
    <r>
      <rPr>
        <b/>
        <sz val="11"/>
        <rFont val="Times New Roman"/>
        <family val="1"/>
      </rPr>
      <t>(местный бюджет)</t>
    </r>
  </si>
  <si>
    <t>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(школы)</t>
  </si>
  <si>
    <r>
      <t xml:space="preserve">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за счет средств </t>
    </r>
    <r>
      <rPr>
        <b/>
        <u val="single"/>
        <sz val="11"/>
        <rFont val="Times New Roman"/>
        <family val="1"/>
      </rPr>
      <t>местного бюджета</t>
    </r>
    <r>
      <rPr>
        <sz val="11"/>
        <rFont val="Times New Roman"/>
        <family val="1"/>
      </rPr>
      <t xml:space="preserve"> (школы)</t>
    </r>
  </si>
  <si>
    <r>
      <t xml:space="preserve">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за счет средств </t>
    </r>
    <r>
      <rPr>
        <b/>
        <u val="single"/>
        <sz val="11"/>
        <rFont val="Times New Roman"/>
        <family val="1"/>
      </rPr>
      <t>краевого бюджета</t>
    </r>
    <r>
      <rPr>
        <sz val="11"/>
        <rFont val="Times New Roman"/>
        <family val="1"/>
      </rPr>
      <t xml:space="preserve"> (школы)</t>
    </r>
  </si>
  <si>
    <r>
      <t xml:space="preserve">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дошкольного образования за счет средств </t>
    </r>
    <r>
      <rPr>
        <b/>
        <u val="single"/>
        <sz val="11"/>
        <rFont val="Times New Roman"/>
        <family val="1"/>
      </rPr>
      <t xml:space="preserve">местного бюджета </t>
    </r>
  </si>
  <si>
    <r>
      <t xml:space="preserve">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дошкольного образования за счет средств </t>
    </r>
    <r>
      <rPr>
        <b/>
        <u val="single"/>
        <sz val="11"/>
        <rFont val="Times New Roman"/>
        <family val="1"/>
      </rPr>
      <t xml:space="preserve">краевого бюджета </t>
    </r>
  </si>
  <si>
    <t xml:space="preserve">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дошкольного образования </t>
  </si>
  <si>
    <r>
      <t xml:space="preserve">Мероприятия по развитию и поддержке учреждений дополнительного образования </t>
    </r>
    <r>
      <rPr>
        <b/>
        <u val="single"/>
        <sz val="11"/>
        <rFont val="Times New Roman"/>
        <family val="1"/>
      </rPr>
      <t>(краевой бюджет)</t>
    </r>
  </si>
  <si>
    <r>
      <t xml:space="preserve">Мероприятия по развитию и поддержке учреждений дополнительного образования </t>
    </r>
    <r>
      <rPr>
        <b/>
        <u val="single"/>
        <sz val="11"/>
        <rFont val="Times New Roman"/>
        <family val="1"/>
      </rPr>
      <t>(местный бюджет)</t>
    </r>
  </si>
  <si>
    <r>
      <t xml:space="preserve">Субсидии бюджетным учреждениям на создание Муниципального опорного центра дополнительного образования детей Кировского муниципального района (МБОУ ДО "ДЮСШ "Патриот" п. Кировский) </t>
    </r>
    <r>
      <rPr>
        <b/>
        <u val="single"/>
        <sz val="11"/>
        <rFont val="Times New Roman"/>
        <family val="1"/>
      </rPr>
      <t>местный бюджет</t>
    </r>
  </si>
  <si>
    <r>
      <t xml:space="preserve">Субсидии бюджетным учреждениям (МБУ ДОД "ДЮЦ") </t>
    </r>
    <r>
      <rPr>
        <b/>
        <u val="single"/>
        <sz val="11"/>
        <rFont val="Times New Roman"/>
        <family val="1"/>
      </rPr>
      <t>(местный бюджет)</t>
    </r>
  </si>
  <si>
    <r>
      <t xml:space="preserve">Субсидии бюджетным учреждениям (МБУ ДОД "ДЮЦ") </t>
    </r>
    <r>
      <rPr>
        <b/>
        <u val="single"/>
        <sz val="11"/>
        <rFont val="Times New Roman"/>
        <family val="1"/>
      </rPr>
      <t>(краевой бюджет)</t>
    </r>
  </si>
  <si>
    <r>
      <t xml:space="preserve">Субсидии бюджетным учреждениям (МБОУ ДО "ДЮСШ "Патриот" п. Кировский) </t>
    </r>
    <r>
      <rPr>
        <b/>
        <u val="single"/>
        <sz val="11"/>
        <rFont val="Times New Roman"/>
        <family val="1"/>
      </rPr>
      <t>(местный бюджет)</t>
    </r>
  </si>
  <si>
    <r>
      <t xml:space="preserve">Субсидии бюджетным учреждениям (МБОУ ДО "ДЮСШ "Патриот" п. Кировский) </t>
    </r>
    <r>
      <rPr>
        <b/>
        <u val="single"/>
        <sz val="11"/>
        <rFont val="Times New Roman"/>
        <family val="1"/>
      </rPr>
      <t>(краевой бюджет)</t>
    </r>
  </si>
  <si>
    <r>
      <t xml:space="preserve">Субсидии бюджетным учреждениям (МБУ ДОД «КДШИ») </t>
    </r>
    <r>
      <rPr>
        <b/>
        <u val="single"/>
        <sz val="11"/>
        <rFont val="Times New Roman"/>
        <family val="1"/>
      </rPr>
      <t>(местный бюджет)</t>
    </r>
  </si>
  <si>
    <r>
      <t xml:space="preserve">Субсидии бюджетным учреждениям (МБУ ДОД «КДШИ») </t>
    </r>
    <r>
      <rPr>
        <b/>
        <u val="single"/>
        <sz val="11"/>
        <rFont val="Times New Roman"/>
        <family val="1"/>
      </rPr>
      <t>(краевой бюджет)</t>
    </r>
  </si>
  <si>
    <t>Субсидии бюджетным учреждениям  (МБУ ДОД «ГДШИ»)</t>
  </si>
  <si>
    <r>
      <t xml:space="preserve">Субсидии бюджетным учреждениям  (МБУ ДОД «ГДШИ») </t>
    </r>
    <r>
      <rPr>
        <b/>
        <u val="single"/>
        <sz val="11"/>
        <rFont val="Times New Roman"/>
        <family val="1"/>
      </rPr>
      <t>(местный бюджет)</t>
    </r>
  </si>
  <si>
    <r>
      <t xml:space="preserve">Субсидии бюджетным учреждениям  (МБУ ДОД «ГДШИ») </t>
    </r>
    <r>
      <rPr>
        <b/>
        <u val="single"/>
        <sz val="11"/>
        <rFont val="Times New Roman"/>
        <family val="1"/>
      </rPr>
      <t>(краевой бюджет)</t>
    </r>
  </si>
  <si>
    <r>
      <t xml:space="preserve">Субсидии бюджетным учреждениям (КДЦ) </t>
    </r>
    <r>
      <rPr>
        <b/>
        <u val="single"/>
        <sz val="11"/>
        <rFont val="Times New Roman"/>
        <family val="1"/>
      </rPr>
      <t>(местный бюджет)</t>
    </r>
  </si>
  <si>
    <r>
      <t xml:space="preserve">Субсидии бюджетным учреждениям (КДЦ) </t>
    </r>
    <r>
      <rPr>
        <b/>
        <u val="single"/>
        <sz val="11"/>
        <rFont val="Times New Roman"/>
        <family val="1"/>
      </rPr>
      <t>(краевой бюджет)</t>
    </r>
  </si>
  <si>
    <t>Субсидии бюджетным учреждениям (библиотеки)</t>
  </si>
  <si>
    <r>
      <t xml:space="preserve">Субсидии бюджетным учреждениям (библиотеки) </t>
    </r>
    <r>
      <rPr>
        <b/>
        <u val="single"/>
        <sz val="11"/>
        <rFont val="Times New Roman"/>
        <family val="1"/>
      </rPr>
      <t>(местный бюджет)</t>
    </r>
  </si>
  <si>
    <r>
      <t xml:space="preserve">Субсидии бюджетным учреждениям (библиотеки) </t>
    </r>
    <r>
      <rPr>
        <b/>
        <u val="single"/>
        <sz val="11"/>
        <rFont val="Times New Roman"/>
        <family val="1"/>
      </rPr>
      <t>(краевой бюджет)</t>
    </r>
  </si>
  <si>
    <t>Субсидии бюджетным учреждениям (музеи)</t>
  </si>
  <si>
    <r>
      <t xml:space="preserve">Субсидии бюджетным учреждениям (музеи) </t>
    </r>
    <r>
      <rPr>
        <b/>
        <u val="single"/>
        <sz val="11"/>
        <rFont val="Times New Roman"/>
        <family val="1"/>
      </rPr>
      <t>(местный бюджет)</t>
    </r>
  </si>
  <si>
    <r>
      <t xml:space="preserve">Субсидии бюджетным учреждениям (музеи) </t>
    </r>
    <r>
      <rPr>
        <b/>
        <u val="single"/>
        <sz val="11"/>
        <rFont val="Times New Roman"/>
        <family val="1"/>
      </rPr>
      <t>(краевой бюджет)</t>
    </r>
  </si>
  <si>
    <r>
      <t xml:space="preserve">Финансовое обеспечение (бухгалтерский учет) МБУ КДЦ Кировского муниципального района. Субсидии бюджетным учреждениям </t>
    </r>
    <r>
      <rPr>
        <b/>
        <u val="single"/>
        <sz val="11"/>
        <rFont val="Times New Roman"/>
        <family val="1"/>
      </rPr>
      <t>(местный бюджет)</t>
    </r>
  </si>
  <si>
    <r>
      <t xml:space="preserve">Финансовое обеспечение (бухгалтерский учет) МБУ КДЦ Кировского муниципального района. Субсидии бюджетным учреждениям </t>
    </r>
    <r>
      <rPr>
        <b/>
        <u val="single"/>
        <sz val="11"/>
        <rFont val="Times New Roman"/>
        <family val="1"/>
      </rPr>
      <t>(краевой бюджет)</t>
    </r>
  </si>
  <si>
    <r>
      <t xml:space="preserve">Руководство и управление в сфере установленных функций органов местного самоуправления </t>
    </r>
    <r>
      <rPr>
        <b/>
        <u val="single"/>
        <sz val="11"/>
        <rFont val="Times New Roman"/>
        <family val="1"/>
      </rPr>
      <t>(местный бюджет)</t>
    </r>
  </si>
  <si>
    <r>
      <t xml:space="preserve">Руководство и управление в сфере установленных функций органов местного самоуправления </t>
    </r>
    <r>
      <rPr>
        <b/>
        <u val="single"/>
        <sz val="11"/>
        <rFont val="Times New Roman"/>
        <family val="1"/>
      </rPr>
      <t xml:space="preserve">(краевой бюджет) </t>
    </r>
  </si>
  <si>
    <t>1200091030</t>
  </si>
  <si>
    <t>Приложение № 4</t>
  </si>
  <si>
    <t xml:space="preserve">                                                                                             Приложение  № 5</t>
  </si>
  <si>
    <t>Иные межбюджетные трансферты общего характера (в целях компенсации дополнительных расходов местных бюджетов в связи с увеличением прогнозных значений среднемесячного дохода от трудовой деятельности работников муниципальных учреждений культуры в Приморском крае на 2021 год)</t>
  </si>
  <si>
    <t>Расходы на пополнение, обновление и содержание целевого резерва материальных ресурсов для предупреждения и ликвидации чрезвычайных ситуаций, являющихся таковыми в соответствии с действующим законодательством Российской Федерации</t>
  </si>
  <si>
    <t>9990010143</t>
  </si>
  <si>
    <t>9990010144</t>
  </si>
  <si>
    <t>Расходы на оказание единовременной материальной помощи гражданам за счет средств резервного фонда администрации Кировского муниципального района</t>
  </si>
  <si>
    <t>Гражданская оборона</t>
  </si>
  <si>
    <t>959</t>
  </si>
  <si>
    <t>960</t>
  </si>
  <si>
    <t>961</t>
  </si>
  <si>
    <t>962</t>
  </si>
  <si>
    <t>964</t>
  </si>
  <si>
    <t>965</t>
  </si>
  <si>
    <t>966</t>
  </si>
  <si>
    <t xml:space="preserve">Доходы от сдачи в аренду имущества, составляющего казну муниципальных районов (за исключением земельных участков) </t>
  </si>
  <si>
    <t xml:space="preserve">от 28.12.2021 г. № 58-НПА </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</si>
</sst>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00_р_._-;\-* #,##0.000_р_._-;_-* &quot;-&quot;??_р_._-;_-@_-"/>
    <numFmt numFmtId="178" formatCode="_-* #,##0.0_р_._-;\-* #,##0.0_р_._-;_-* &quot;-&quot;??_р_._-;_-@_-"/>
    <numFmt numFmtId="179" formatCode="_-* #,##0.0_р_._-;\-* #,##0.0_р_._-;_-* &quot;-&quot;?_р_._-;_-@_-"/>
    <numFmt numFmtId="180" formatCode="_-* #,##0_р_._-;\-* #,##0_р_._-;_-* &quot;-&quot;??_р_._-;_-@_-"/>
    <numFmt numFmtId="181" formatCode="#,##0.0"/>
    <numFmt numFmtId="182" formatCode="0.000"/>
    <numFmt numFmtId="183" formatCode="0.00000"/>
    <numFmt numFmtId="184" formatCode="0.0000"/>
    <numFmt numFmtId="185" formatCode="_-* #,##0.00_р_._-;\-* #,##0.00_р_._-;_-* &quot;-&quot;?_р_._-;_-@_-"/>
    <numFmt numFmtId="186" formatCode="0.000000"/>
    <numFmt numFmtId="187" formatCode="_-* #,##0_р_._-;\-* #,##0_р_._-;_-* &quot;-&quot;?_р_._-;_-@_-"/>
    <numFmt numFmtId="188" formatCode="#,##0.000"/>
    <numFmt numFmtId="189" formatCode="#,##0.0000"/>
    <numFmt numFmtId="190" formatCode="#,##0.00000"/>
    <numFmt numFmtId="191" formatCode="#,##0.000000"/>
    <numFmt numFmtId="192" formatCode="0.000%"/>
    <numFmt numFmtId="193" formatCode="#,##0.0000000"/>
    <numFmt numFmtId="194" formatCode="0.0000000"/>
    <numFmt numFmtId="195" formatCode="#,##0.00000000"/>
    <numFmt numFmtId="196" formatCode="0.00000000"/>
  </numFmts>
  <fonts count="88">
    <font>
      <sz val="10"/>
      <name val="Arial Cyr"/>
      <family val="0"/>
    </font>
    <font>
      <sz val="8"/>
      <name val="Arial Cyr"/>
      <family val="0"/>
    </font>
    <font>
      <sz val="10"/>
      <name val="Times New Roman"/>
      <family val="1"/>
    </font>
    <font>
      <sz val="12"/>
      <name val="Times New Roman"/>
      <family val="1"/>
    </font>
    <font>
      <b/>
      <sz val="12"/>
      <name val="Times New Roman"/>
      <family val="1"/>
    </font>
    <font>
      <sz val="12"/>
      <name val="Times New Roman CE"/>
      <family val="1"/>
    </font>
    <font>
      <b/>
      <sz val="14"/>
      <name val="Times New Roman"/>
      <family val="1"/>
    </font>
    <font>
      <sz val="12"/>
      <name val="Arial Cyr"/>
      <family val="0"/>
    </font>
    <font>
      <b/>
      <sz val="10"/>
      <name val="Arial Cyr"/>
      <family val="0"/>
    </font>
    <font>
      <b/>
      <sz val="11"/>
      <name val="Times New Roman"/>
      <family val="1"/>
    </font>
    <font>
      <sz val="11"/>
      <name val="Times New Roman"/>
      <family val="1"/>
    </font>
    <font>
      <u val="single"/>
      <sz val="10"/>
      <color indexed="12"/>
      <name val="Arial Cyr"/>
      <family val="0"/>
    </font>
    <font>
      <u val="single"/>
      <sz val="10"/>
      <color indexed="36"/>
      <name val="Arial Cyr"/>
      <family val="0"/>
    </font>
    <font>
      <b/>
      <sz val="12"/>
      <name val="Arial Cyr"/>
      <family val="0"/>
    </font>
    <font>
      <b/>
      <sz val="13"/>
      <name val="Times New Roman"/>
      <family val="1"/>
    </font>
    <font>
      <sz val="13"/>
      <name val="Times New Roman"/>
      <family val="1"/>
    </font>
    <font>
      <b/>
      <sz val="11"/>
      <name val="Arial Cyr"/>
      <family val="0"/>
    </font>
    <font>
      <b/>
      <sz val="10"/>
      <name val="Times New Roman"/>
      <family val="1"/>
    </font>
    <font>
      <sz val="9"/>
      <name val="Times New Roman"/>
      <family val="1"/>
    </font>
    <font>
      <sz val="12"/>
      <color indexed="8"/>
      <name val="Times New Roman"/>
      <family val="1"/>
    </font>
    <font>
      <b/>
      <sz val="12"/>
      <color indexed="8"/>
      <name val="Times New Roman"/>
      <family val="1"/>
    </font>
    <font>
      <sz val="14"/>
      <name val="Times New Roman"/>
      <family val="1"/>
    </font>
    <font>
      <sz val="9"/>
      <name val="Arial Cyr"/>
      <family val="0"/>
    </font>
    <font>
      <sz val="11"/>
      <name val="Arial Cyr"/>
      <family val="0"/>
    </font>
    <font>
      <b/>
      <sz val="9"/>
      <name val="Times New Roman"/>
      <family val="1"/>
    </font>
    <font>
      <i/>
      <sz val="12"/>
      <name val="Times New Roman"/>
      <family val="1"/>
    </font>
    <font>
      <i/>
      <sz val="10"/>
      <name val="Arial Cyr"/>
      <family val="0"/>
    </font>
    <font>
      <b/>
      <sz val="9"/>
      <name val="Arial Cyr"/>
      <family val="0"/>
    </font>
    <font>
      <sz val="11"/>
      <name val="Times New Roman CE"/>
      <family val="1"/>
    </font>
    <font>
      <i/>
      <sz val="11"/>
      <name val="Times New Roman"/>
      <family val="1"/>
    </font>
    <font>
      <sz val="8"/>
      <name val="Times New Roman"/>
      <family val="1"/>
    </font>
    <font>
      <b/>
      <i/>
      <sz val="10"/>
      <name val="Arial Cyr"/>
      <family val="0"/>
    </font>
    <font>
      <b/>
      <i/>
      <sz val="12"/>
      <name val="Times New Roman"/>
      <family val="1"/>
    </font>
    <font>
      <u val="single"/>
      <sz val="12"/>
      <name val="Times New Roman"/>
      <family val="1"/>
    </font>
    <font>
      <b/>
      <sz val="8"/>
      <name val="Arial Cyr"/>
      <family val="0"/>
    </font>
    <font>
      <b/>
      <i/>
      <sz val="11"/>
      <name val="Times New Roman"/>
      <family val="1"/>
    </font>
    <font>
      <u val="single"/>
      <sz val="11"/>
      <name val="Times New Roman"/>
      <family val="1"/>
    </font>
    <font>
      <i/>
      <sz val="11"/>
      <name val="Arial Cyr"/>
      <family val="0"/>
    </font>
    <font>
      <b/>
      <i/>
      <sz val="11"/>
      <name val="Arial Cyr"/>
      <family val="0"/>
    </font>
    <font>
      <i/>
      <u val="single"/>
      <sz val="12"/>
      <name val="Times New Roman"/>
      <family val="1"/>
    </font>
    <font>
      <i/>
      <sz val="12"/>
      <name val="Arial Cyr"/>
      <family val="0"/>
    </font>
    <font>
      <sz val="12"/>
      <name val="Arial"/>
      <family val="2"/>
    </font>
    <font>
      <b/>
      <i/>
      <sz val="12"/>
      <name val="Arial Cyr"/>
      <family val="0"/>
    </font>
    <font>
      <u val="single"/>
      <sz val="12"/>
      <name val="Arial Cyr"/>
      <family val="0"/>
    </font>
    <font>
      <sz val="10"/>
      <name val="Arial"/>
      <family val="2"/>
    </font>
    <font>
      <b/>
      <u val="singl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Arial Cyr"/>
      <family val="0"/>
    </font>
    <font>
      <i/>
      <sz val="10"/>
      <color indexed="10"/>
      <name val="Arial Cyr"/>
      <family val="0"/>
    </font>
    <font>
      <b/>
      <sz val="8"/>
      <color indexed="10"/>
      <name val="Arial Cyr"/>
      <family val="0"/>
    </font>
    <font>
      <sz val="10"/>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11"/>
      <color rgb="FFFF0000"/>
      <name val="Arial Cyr"/>
      <family val="0"/>
    </font>
    <font>
      <b/>
      <sz val="8"/>
      <color rgb="FFFF0000"/>
      <name val="Arial Cyr"/>
      <family val="0"/>
    </font>
    <font>
      <i/>
      <sz val="10"/>
      <color rgb="FFFF0000"/>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0" fontId="71" fillId="27" borderId="1" applyNumberFormat="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28" borderId="7" applyNumberFormat="0" applyAlignment="0" applyProtection="0"/>
    <xf numFmtId="0" fontId="77" fillId="0" borderId="0" applyNumberFormat="0" applyFill="0" applyBorder="0" applyAlignment="0" applyProtection="0"/>
    <xf numFmtId="0" fontId="78" fillId="29" borderId="0" applyNumberFormat="0" applyBorder="0" applyAlignment="0" applyProtection="0"/>
    <xf numFmtId="0" fontId="12" fillId="0" borderId="0" applyNumberFormat="0" applyFill="0" applyBorder="0" applyAlignment="0" applyProtection="0"/>
    <xf numFmtId="0" fontId="79" fillId="30" borderId="0" applyNumberFormat="0" applyBorder="0" applyAlignment="0" applyProtection="0"/>
    <xf numFmtId="0" fontId="8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83" fillId="32" borderId="0" applyNumberFormat="0" applyBorder="0" applyAlignment="0" applyProtection="0"/>
  </cellStyleXfs>
  <cellXfs count="343">
    <xf numFmtId="0" fontId="0" fillId="0" borderId="0" xfId="0" applyAlignment="1">
      <alignment/>
    </xf>
    <xf numFmtId="0" fontId="3" fillId="0" borderId="0" xfId="0" applyFont="1" applyFill="1" applyAlignment="1">
      <alignment horizontal="right"/>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0" xfId="0" applyFont="1" applyFill="1" applyAlignment="1">
      <alignment/>
    </xf>
    <xf numFmtId="0" fontId="7" fillId="0" borderId="0" xfId="0" applyFont="1" applyFill="1" applyAlignment="1">
      <alignment vertical="center" wrapText="1"/>
    </xf>
    <xf numFmtId="0" fontId="7" fillId="0" borderId="0" xfId="0" applyFont="1" applyFill="1" applyAlignment="1">
      <alignment vertical="justify"/>
    </xf>
    <xf numFmtId="0" fontId="5" fillId="0" borderId="0" xfId="0" applyFont="1" applyFill="1" applyAlignment="1">
      <alignment/>
    </xf>
    <xf numFmtId="0" fontId="18"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top" wrapText="1"/>
    </xf>
    <xf numFmtId="0" fontId="10"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shrinkToFit="1"/>
    </xf>
    <xf numFmtId="0" fontId="18"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10" fillId="0" borderId="10" xfId="0" applyFont="1" applyFill="1" applyBorder="1" applyAlignment="1">
      <alignment vertical="center" wrapText="1"/>
    </xf>
    <xf numFmtId="0" fontId="2" fillId="0" borderId="0" xfId="0" applyFont="1" applyFill="1" applyBorder="1" applyAlignment="1">
      <alignment/>
    </xf>
    <xf numFmtId="0" fontId="26" fillId="0" borderId="0" xfId="0" applyFont="1" applyFill="1" applyAlignment="1">
      <alignment/>
    </xf>
    <xf numFmtId="49" fontId="4" fillId="0" borderId="10" xfId="0" applyNumberFormat="1" applyFont="1" applyFill="1" applyBorder="1" applyAlignment="1">
      <alignment horizontal="center" vertical="center" wrapText="1" shrinkToFit="1"/>
    </xf>
    <xf numFmtId="49" fontId="10" fillId="0" borderId="10" xfId="0" applyNumberFormat="1" applyFont="1" applyFill="1" applyBorder="1" applyAlignment="1">
      <alignment horizontal="center" vertical="center" wrapText="1"/>
    </xf>
    <xf numFmtId="0" fontId="8" fillId="0" borderId="0" xfId="0" applyFont="1" applyFill="1" applyAlignment="1">
      <alignment/>
    </xf>
    <xf numFmtId="0" fontId="3" fillId="0"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shrinkToFit="1"/>
    </xf>
    <xf numFmtId="0" fontId="23" fillId="0" borderId="0" xfId="0" applyFont="1" applyFill="1" applyAlignment="1">
      <alignment/>
    </xf>
    <xf numFmtId="0" fontId="28" fillId="0" borderId="0" xfId="0" applyFont="1" applyFill="1" applyAlignment="1">
      <alignment/>
    </xf>
    <xf numFmtId="0" fontId="3" fillId="0" borderId="10" xfId="0" applyFont="1" applyFill="1" applyBorder="1" applyAlignment="1">
      <alignment vertical="center" wrapText="1"/>
    </xf>
    <xf numFmtId="49" fontId="25" fillId="0" borderId="10" xfId="0" applyNumberFormat="1" applyFont="1" applyFill="1" applyBorder="1" applyAlignment="1">
      <alignment horizontal="center" vertical="center" wrapText="1" shrinkToFit="1"/>
    </xf>
    <xf numFmtId="0" fontId="3" fillId="0" borderId="0" xfId="0" applyFont="1" applyFill="1" applyAlignment="1">
      <alignment/>
    </xf>
    <xf numFmtId="0" fontId="3" fillId="0" borderId="10" xfId="0" applyFont="1" applyFill="1" applyBorder="1" applyAlignment="1">
      <alignment horizontal="center" vertical="center" wrapText="1"/>
    </xf>
    <xf numFmtId="0" fontId="25" fillId="0" borderId="10" xfId="0" applyFont="1" applyFill="1" applyBorder="1" applyAlignment="1">
      <alignment vertical="center" wrapText="1"/>
    </xf>
    <xf numFmtId="0" fontId="33" fillId="0" borderId="10" xfId="0" applyFont="1" applyFill="1" applyBorder="1" applyAlignment="1">
      <alignment vertical="center" wrapText="1"/>
    </xf>
    <xf numFmtId="0" fontId="0" fillId="0" borderId="0" xfId="0" applyFont="1" applyFill="1" applyAlignment="1">
      <alignment/>
    </xf>
    <xf numFmtId="0" fontId="6" fillId="0" borderId="0" xfId="0" applyFont="1" applyFill="1" applyAlignment="1">
      <alignment horizontal="center" vertical="center" wrapText="1"/>
    </xf>
    <xf numFmtId="49" fontId="10" fillId="0" borderId="10" xfId="0" applyNumberFormat="1" applyFont="1" applyFill="1" applyBorder="1" applyAlignment="1">
      <alignment horizontal="center" vertical="center" wrapText="1" shrinkToFit="1"/>
    </xf>
    <xf numFmtId="0" fontId="10" fillId="0" borderId="10" xfId="0" applyFont="1" applyFill="1" applyBorder="1" applyAlignment="1">
      <alignment horizontal="left" vertical="top" wrapText="1"/>
    </xf>
    <xf numFmtId="0" fontId="16" fillId="0" borderId="0" xfId="0" applyFont="1" applyFill="1" applyAlignment="1">
      <alignment/>
    </xf>
    <xf numFmtId="4" fontId="23" fillId="0" borderId="0" xfId="0" applyNumberFormat="1" applyFont="1" applyFill="1" applyAlignment="1">
      <alignment/>
    </xf>
    <xf numFmtId="0" fontId="10" fillId="0" borderId="0" xfId="0" applyFont="1" applyFill="1" applyAlignment="1">
      <alignment/>
    </xf>
    <xf numFmtId="0" fontId="22" fillId="0" borderId="0" xfId="0" applyFont="1" applyFill="1" applyAlignment="1">
      <alignment/>
    </xf>
    <xf numFmtId="0" fontId="24" fillId="0" borderId="0" xfId="0" applyFont="1" applyFill="1" applyAlignment="1">
      <alignment/>
    </xf>
    <xf numFmtId="0" fontId="32" fillId="0" borderId="10" xfId="0" applyFont="1" applyFill="1" applyBorder="1" applyAlignment="1">
      <alignment vertical="center" wrapText="1"/>
    </xf>
    <xf numFmtId="0" fontId="2" fillId="0" borderId="0" xfId="0" applyFont="1" applyFill="1" applyAlignment="1">
      <alignment horizontal="right"/>
    </xf>
    <xf numFmtId="0" fontId="10" fillId="0" borderId="10" xfId="0" applyFont="1" applyFill="1" applyBorder="1" applyAlignment="1">
      <alignment vertical="top" wrapText="1"/>
    </xf>
    <xf numFmtId="4" fontId="10" fillId="0" borderId="0" xfId="0" applyNumberFormat="1" applyFont="1" applyFill="1" applyAlignment="1">
      <alignment/>
    </xf>
    <xf numFmtId="0" fontId="25" fillId="0" borderId="10" xfId="0" applyFont="1" applyFill="1" applyBorder="1" applyAlignment="1">
      <alignment vertical="top" wrapText="1"/>
    </xf>
    <xf numFmtId="188" fontId="10" fillId="0" borderId="10" xfId="0" applyNumberFormat="1" applyFont="1" applyFill="1" applyBorder="1" applyAlignment="1">
      <alignment horizontal="center" vertical="center" wrapText="1"/>
    </xf>
    <xf numFmtId="188" fontId="10" fillId="0" borderId="0" xfId="0" applyNumberFormat="1" applyFont="1" applyFill="1" applyAlignment="1">
      <alignment/>
    </xf>
    <xf numFmtId="188" fontId="23" fillId="0" borderId="0" xfId="0" applyNumberFormat="1" applyFont="1" applyFill="1" applyAlignment="1">
      <alignment/>
    </xf>
    <xf numFmtId="0" fontId="10"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3" fillId="0" borderId="10" xfId="0" applyFont="1" applyFill="1" applyBorder="1" applyAlignment="1">
      <alignment vertical="top" wrapText="1"/>
    </xf>
    <xf numFmtId="0" fontId="29" fillId="0" borderId="10" xfId="0" applyFont="1" applyFill="1" applyBorder="1" applyAlignment="1">
      <alignment vertical="center" wrapText="1"/>
    </xf>
    <xf numFmtId="0" fontId="29" fillId="0" borderId="10" xfId="0" applyFont="1" applyFill="1" applyBorder="1" applyAlignment="1">
      <alignment vertical="top" wrapText="1"/>
    </xf>
    <xf numFmtId="0" fontId="10" fillId="0" borderId="10" xfId="0" applyFont="1" applyFill="1" applyBorder="1" applyAlignment="1">
      <alignment horizontal="center" vertical="top" wrapText="1"/>
    </xf>
    <xf numFmtId="49" fontId="10" fillId="0" borderId="10" xfId="0" applyNumberFormat="1" applyFont="1" applyFill="1" applyBorder="1" applyAlignment="1">
      <alignment horizontal="center" vertical="top" wrapText="1"/>
    </xf>
    <xf numFmtId="49" fontId="29" fillId="0" borderId="10" xfId="0" applyNumberFormat="1" applyFont="1" applyFill="1" applyBorder="1" applyAlignment="1">
      <alignment horizontal="center" vertical="center" wrapText="1" shrinkToFit="1"/>
    </xf>
    <xf numFmtId="0" fontId="10" fillId="0" borderId="10" xfId="0" applyFont="1" applyFill="1" applyBorder="1" applyAlignment="1">
      <alignment horizontal="center" vertical="center" wrapText="1"/>
    </xf>
    <xf numFmtId="49" fontId="32" fillId="0" borderId="10" xfId="0" applyNumberFormat="1" applyFont="1" applyFill="1" applyBorder="1" applyAlignment="1">
      <alignment horizontal="center" vertical="center" wrapText="1" shrinkToFit="1"/>
    </xf>
    <xf numFmtId="0" fontId="3" fillId="0" borderId="10" xfId="0" applyFont="1" applyFill="1" applyBorder="1" applyAlignment="1">
      <alignment horizontal="left" vertical="top" wrapText="1"/>
    </xf>
    <xf numFmtId="0" fontId="32" fillId="0" borderId="10" xfId="0" applyFont="1" applyFill="1" applyBorder="1" applyAlignment="1">
      <alignment vertical="top" wrapText="1"/>
    </xf>
    <xf numFmtId="0" fontId="4" fillId="0" borderId="10" xfId="0" applyFont="1" applyFill="1" applyBorder="1" applyAlignment="1">
      <alignment vertical="center" wrapText="1"/>
    </xf>
    <xf numFmtId="0" fontId="4" fillId="0" borderId="10" xfId="0" applyFont="1" applyFill="1" applyBorder="1" applyAlignment="1">
      <alignment vertical="top" wrapText="1"/>
    </xf>
    <xf numFmtId="190" fontId="3" fillId="0" borderId="10" xfId="0" applyNumberFormat="1" applyFont="1" applyFill="1" applyBorder="1" applyAlignment="1">
      <alignment horizontal="center" vertical="center" wrapText="1"/>
    </xf>
    <xf numFmtId="190" fontId="25" fillId="0" borderId="10" xfId="0" applyNumberFormat="1" applyFont="1" applyFill="1" applyBorder="1" applyAlignment="1">
      <alignment horizontal="center" vertical="center" wrapText="1"/>
    </xf>
    <xf numFmtId="190" fontId="0" fillId="0" borderId="0" xfId="0" applyNumberFormat="1" applyFont="1" applyFill="1" applyAlignment="1">
      <alignment/>
    </xf>
    <xf numFmtId="0" fontId="23" fillId="0" borderId="0" xfId="0" applyFont="1" applyFill="1" applyAlignment="1">
      <alignment horizontal="left"/>
    </xf>
    <xf numFmtId="49" fontId="10" fillId="0" borderId="10" xfId="0" applyNumberFormat="1" applyFont="1" applyFill="1" applyBorder="1" applyAlignment="1">
      <alignment horizontal="center" vertical="center"/>
    </xf>
    <xf numFmtId="0" fontId="29" fillId="0" borderId="10" xfId="0" applyFont="1" applyFill="1" applyBorder="1" applyAlignment="1">
      <alignment horizontal="left" vertical="center" wrapText="1"/>
    </xf>
    <xf numFmtId="0" fontId="35" fillId="0" borderId="10" xfId="0" applyFont="1" applyFill="1" applyBorder="1" applyAlignment="1">
      <alignment vertical="top" wrapText="1"/>
    </xf>
    <xf numFmtId="49" fontId="35" fillId="0" borderId="10" xfId="0" applyNumberFormat="1" applyFont="1" applyFill="1" applyBorder="1" applyAlignment="1">
      <alignment horizontal="center" vertical="center" wrapText="1" shrinkToFit="1"/>
    </xf>
    <xf numFmtId="49" fontId="29" fillId="0" borderId="10" xfId="0" applyNumberFormat="1" applyFont="1" applyFill="1" applyBorder="1" applyAlignment="1">
      <alignment horizontal="center" vertical="center" wrapText="1"/>
    </xf>
    <xf numFmtId="0" fontId="35" fillId="0" borderId="10" xfId="0" applyFont="1" applyFill="1" applyBorder="1" applyAlignment="1">
      <alignment vertical="center" wrapText="1"/>
    </xf>
    <xf numFmtId="0" fontId="10" fillId="0" borderId="10" xfId="0" applyFont="1" applyFill="1" applyBorder="1" applyAlignment="1">
      <alignment vertical="center" wrapText="1"/>
    </xf>
    <xf numFmtId="49" fontId="10" fillId="0" borderId="10" xfId="0" applyNumberFormat="1" applyFont="1" applyFill="1" applyBorder="1" applyAlignment="1">
      <alignment horizontal="center" vertical="center" wrapText="1"/>
    </xf>
    <xf numFmtId="0" fontId="10" fillId="0" borderId="10" xfId="0" applyFont="1" applyFill="1" applyBorder="1" applyAlignment="1">
      <alignment vertical="top" wrapText="1"/>
    </xf>
    <xf numFmtId="0" fontId="9" fillId="0" borderId="10" xfId="0" applyFont="1" applyFill="1" applyBorder="1" applyAlignment="1">
      <alignment vertical="center" wrapText="1"/>
    </xf>
    <xf numFmtId="49" fontId="9" fillId="0" borderId="10" xfId="0" applyNumberFormat="1" applyFont="1" applyFill="1" applyBorder="1" applyAlignment="1">
      <alignment horizontal="center" vertical="center" wrapText="1" shrinkToFit="1"/>
    </xf>
    <xf numFmtId="0" fontId="36" fillId="0" borderId="10" xfId="0" applyFont="1" applyFill="1" applyBorder="1" applyAlignment="1">
      <alignment vertical="center" wrapText="1"/>
    </xf>
    <xf numFmtId="0" fontId="9" fillId="0" borderId="10" xfId="0" applyFont="1" applyFill="1" applyBorder="1" applyAlignment="1">
      <alignment vertical="top" wrapText="1"/>
    </xf>
    <xf numFmtId="49" fontId="3" fillId="0" borderId="10" xfId="0" applyNumberFormat="1" applyFont="1" applyFill="1" applyBorder="1" applyAlignment="1">
      <alignment horizontal="center" vertical="center"/>
    </xf>
    <xf numFmtId="190" fontId="23" fillId="0" borderId="0" xfId="0" applyNumberFormat="1" applyFont="1" applyFill="1" applyAlignment="1">
      <alignment/>
    </xf>
    <xf numFmtId="190" fontId="10"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49" fontId="35" fillId="0" borderId="10" xfId="0" applyNumberFormat="1" applyFont="1" applyFill="1" applyBorder="1" applyAlignment="1">
      <alignment horizontal="center" vertical="center" wrapText="1"/>
    </xf>
    <xf numFmtId="190" fontId="35" fillId="0" borderId="10" xfId="0" applyNumberFormat="1" applyFont="1" applyFill="1" applyBorder="1" applyAlignment="1">
      <alignment horizontal="center" vertical="center" wrapText="1"/>
    </xf>
    <xf numFmtId="0" fontId="9" fillId="0" borderId="0" xfId="0" applyFont="1" applyFill="1" applyAlignment="1">
      <alignment/>
    </xf>
    <xf numFmtId="183" fontId="10" fillId="0" borderId="0" xfId="0" applyNumberFormat="1" applyFont="1" applyFill="1" applyAlignment="1">
      <alignment/>
    </xf>
    <xf numFmtId="190" fontId="10" fillId="0" borderId="0" xfId="0" applyNumberFormat="1" applyFont="1" applyFill="1" applyAlignment="1">
      <alignment/>
    </xf>
    <xf numFmtId="190" fontId="9" fillId="0" borderId="10" xfId="0" applyNumberFormat="1" applyFont="1" applyFill="1" applyBorder="1" applyAlignment="1">
      <alignment horizontal="center"/>
    </xf>
    <xf numFmtId="190" fontId="9" fillId="0" borderId="10" xfId="0" applyNumberFormat="1" applyFont="1" applyFill="1" applyBorder="1" applyAlignment="1">
      <alignment horizontal="center" vertical="center" wrapText="1"/>
    </xf>
    <xf numFmtId="190" fontId="29" fillId="0" borderId="10"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190" fontId="9" fillId="0" borderId="10" xfId="63" applyNumberFormat="1" applyFont="1" applyFill="1" applyBorder="1" applyAlignment="1">
      <alignment horizontal="center" vertical="center" wrapText="1"/>
    </xf>
    <xf numFmtId="190" fontId="10" fillId="0" borderId="10" xfId="63" applyNumberFormat="1" applyFont="1" applyFill="1" applyBorder="1" applyAlignment="1">
      <alignment horizontal="center" vertical="center" wrapText="1"/>
    </xf>
    <xf numFmtId="49" fontId="10" fillId="0" borderId="10" xfId="0" applyNumberFormat="1" applyFont="1" applyFill="1" applyBorder="1" applyAlignment="1">
      <alignment wrapText="1"/>
    </xf>
    <xf numFmtId="49" fontId="10" fillId="0" borderId="10" xfId="0" applyNumberFormat="1" applyFont="1" applyFill="1" applyBorder="1" applyAlignment="1">
      <alignment horizontal="left" vertical="center" wrapText="1"/>
    </xf>
    <xf numFmtId="0" fontId="29" fillId="0" borderId="10" xfId="0" applyFont="1" applyFill="1" applyBorder="1" applyAlignment="1">
      <alignment horizontal="left" vertical="top" wrapText="1"/>
    </xf>
    <xf numFmtId="0" fontId="10" fillId="0" borderId="10" xfId="0" applyFont="1" applyFill="1" applyBorder="1" applyAlignment="1">
      <alignment horizontal="left" vertical="center" wrapText="1"/>
    </xf>
    <xf numFmtId="0" fontId="36" fillId="0" borderId="10" xfId="0" applyFont="1" applyFill="1" applyBorder="1" applyAlignment="1">
      <alignment vertical="center" wrapText="1"/>
    </xf>
    <xf numFmtId="0" fontId="29" fillId="0" borderId="10" xfId="0" applyFont="1" applyFill="1" applyBorder="1" applyAlignment="1">
      <alignment horizontal="left" vertical="center" wrapText="1"/>
    </xf>
    <xf numFmtId="0" fontId="36"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37" fillId="0" borderId="0" xfId="0" applyFont="1" applyFill="1" applyAlignment="1">
      <alignment/>
    </xf>
    <xf numFmtId="0" fontId="5" fillId="0" borderId="0" xfId="0" applyFont="1" applyFill="1" applyBorder="1" applyAlignment="1">
      <alignment/>
    </xf>
    <xf numFmtId="190" fontId="6" fillId="0" borderId="0" xfId="0" applyNumberFormat="1" applyFont="1" applyFill="1" applyAlignment="1">
      <alignment horizontal="center" vertical="center" wrapText="1"/>
    </xf>
    <xf numFmtId="190" fontId="10" fillId="0" borderId="10" xfId="0" applyNumberFormat="1" applyFont="1" applyFill="1" applyBorder="1" applyAlignment="1">
      <alignment horizontal="center" vertical="top"/>
    </xf>
    <xf numFmtId="190" fontId="10" fillId="0" borderId="10" xfId="0" applyNumberFormat="1" applyFont="1" applyFill="1" applyBorder="1" applyAlignment="1">
      <alignment horizontal="center" vertical="center" wrapText="1"/>
    </xf>
    <xf numFmtId="190" fontId="29" fillId="0" borderId="10" xfId="63" applyNumberFormat="1" applyFont="1" applyFill="1" applyBorder="1" applyAlignment="1">
      <alignment horizontal="center" vertical="center" wrapText="1"/>
    </xf>
    <xf numFmtId="0" fontId="10" fillId="0" borderId="0" xfId="0" applyFont="1" applyFill="1" applyAlignment="1">
      <alignment horizontal="right"/>
    </xf>
    <xf numFmtId="190" fontId="3" fillId="0" borderId="11" xfId="0" applyNumberFormat="1" applyFont="1" applyFill="1" applyBorder="1" applyAlignment="1">
      <alignment horizontal="center" vertical="center" wrapText="1"/>
    </xf>
    <xf numFmtId="190" fontId="32" fillId="0" borderId="10" xfId="0" applyNumberFormat="1" applyFont="1" applyFill="1" applyBorder="1" applyAlignment="1">
      <alignment horizontal="center" vertical="center" wrapText="1"/>
    </xf>
    <xf numFmtId="190" fontId="3" fillId="0" borderId="10" xfId="0" applyNumberFormat="1" applyFont="1" applyFill="1" applyBorder="1" applyAlignment="1">
      <alignment horizontal="center" vertical="center"/>
    </xf>
    <xf numFmtId="190" fontId="4" fillId="0" borderId="11" xfId="0" applyNumberFormat="1" applyFont="1" applyFill="1" applyBorder="1" applyAlignment="1">
      <alignment horizontal="center" vertical="center" wrapText="1"/>
    </xf>
    <xf numFmtId="190" fontId="4" fillId="0" borderId="10" xfId="0" applyNumberFormat="1" applyFont="1" applyFill="1" applyBorder="1" applyAlignment="1">
      <alignment horizontal="center" vertical="center" wrapText="1"/>
    </xf>
    <xf numFmtId="190" fontId="33" fillId="0" borderId="10" xfId="0" applyNumberFormat="1" applyFont="1" applyFill="1" applyBorder="1" applyAlignment="1">
      <alignment horizontal="center" vertical="center" wrapText="1"/>
    </xf>
    <xf numFmtId="190" fontId="29" fillId="0" borderId="10" xfId="0" applyNumberFormat="1" applyFont="1" applyFill="1" applyBorder="1" applyAlignment="1">
      <alignment horizontal="center" vertical="center"/>
    </xf>
    <xf numFmtId="190" fontId="10" fillId="0" borderId="11" xfId="0" applyNumberFormat="1" applyFont="1" applyFill="1" applyBorder="1" applyAlignment="1">
      <alignment horizontal="center" vertical="center" wrapText="1"/>
    </xf>
    <xf numFmtId="190" fontId="9" fillId="0" borderId="11" xfId="0" applyNumberFormat="1" applyFont="1" applyFill="1" applyBorder="1" applyAlignment="1">
      <alignment horizontal="center" vertical="center" wrapText="1"/>
    </xf>
    <xf numFmtId="190" fontId="29" fillId="0" borderId="10" xfId="0" applyNumberFormat="1" applyFont="1" applyFill="1" applyBorder="1" applyAlignment="1">
      <alignment horizontal="center" vertical="center" wrapText="1"/>
    </xf>
    <xf numFmtId="190" fontId="9" fillId="0" borderId="10" xfId="0" applyNumberFormat="1" applyFont="1" applyFill="1" applyBorder="1" applyAlignment="1">
      <alignment horizontal="center" vertical="center" wrapText="1"/>
    </xf>
    <xf numFmtId="190" fontId="23" fillId="0" borderId="10" xfId="0" applyNumberFormat="1" applyFont="1" applyFill="1" applyBorder="1" applyAlignment="1">
      <alignment/>
    </xf>
    <xf numFmtId="182" fontId="2" fillId="0" borderId="0" xfId="0" applyNumberFormat="1" applyFont="1" applyFill="1" applyAlignment="1">
      <alignment horizontal="center" vertical="center"/>
    </xf>
    <xf numFmtId="0" fontId="3" fillId="0" borderId="0" xfId="0" applyFont="1" applyFill="1" applyAlignment="1">
      <alignment horizontal="center" vertical="center"/>
    </xf>
    <xf numFmtId="0" fontId="0" fillId="0" borderId="0" xfId="0" applyFont="1" applyFill="1" applyAlignment="1">
      <alignment horizontal="center" vertical="center"/>
    </xf>
    <xf numFmtId="190" fontId="10" fillId="0" borderId="10" xfId="0" applyNumberFormat="1" applyFont="1" applyFill="1" applyBorder="1" applyAlignment="1">
      <alignment horizontal="center" vertical="center"/>
    </xf>
    <xf numFmtId="190" fontId="9"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wrapText="1"/>
    </xf>
    <xf numFmtId="0" fontId="35" fillId="0" borderId="10" xfId="0" applyFont="1" applyFill="1" applyBorder="1" applyAlignment="1">
      <alignment vertical="center" wrapText="1"/>
    </xf>
    <xf numFmtId="182" fontId="2" fillId="0" borderId="0" xfId="0" applyNumberFormat="1" applyFont="1" applyFill="1" applyAlignment="1">
      <alignment horizontal="right" vertical="center"/>
    </xf>
    <xf numFmtId="190" fontId="0" fillId="0" borderId="0" xfId="0" applyNumberFormat="1" applyFont="1" applyFill="1" applyAlignment="1">
      <alignment horizontal="center" vertical="center"/>
    </xf>
    <xf numFmtId="190" fontId="3" fillId="0" borderId="10" xfId="0" applyNumberFormat="1" applyFont="1" applyFill="1" applyBorder="1" applyAlignment="1">
      <alignment horizontal="center" vertical="center" wrapText="1"/>
    </xf>
    <xf numFmtId="0" fontId="33" fillId="0" borderId="10" xfId="0" applyFont="1" applyFill="1" applyBorder="1" applyAlignment="1">
      <alignment vertical="top" wrapText="1"/>
    </xf>
    <xf numFmtId="0" fontId="39" fillId="0" borderId="10" xfId="0" applyFont="1" applyFill="1" applyBorder="1" applyAlignment="1">
      <alignment vertical="center" wrapText="1"/>
    </xf>
    <xf numFmtId="0" fontId="36" fillId="0" borderId="10" xfId="0" applyFont="1" applyFill="1" applyBorder="1" applyAlignment="1">
      <alignment vertical="top" wrapText="1"/>
    </xf>
    <xf numFmtId="0" fontId="0" fillId="0" borderId="0" xfId="0" applyFont="1" applyFill="1" applyAlignment="1">
      <alignment/>
    </xf>
    <xf numFmtId="190" fontId="25" fillId="0" borderId="10" xfId="0" applyNumberFormat="1" applyFont="1" applyFill="1" applyBorder="1" applyAlignment="1">
      <alignment horizontal="center" vertical="center"/>
    </xf>
    <xf numFmtId="190" fontId="10" fillId="0" borderId="10" xfId="0" applyNumberFormat="1" applyFont="1" applyFill="1" applyBorder="1" applyAlignment="1">
      <alignment horizontal="right"/>
    </xf>
    <xf numFmtId="0" fontId="10" fillId="0" borderId="10" xfId="0" applyNumberFormat="1" applyFont="1" applyFill="1" applyBorder="1" applyAlignment="1">
      <alignment horizontal="center" vertical="top" wrapText="1"/>
    </xf>
    <xf numFmtId="190" fontId="2" fillId="0" borderId="10" xfId="0" applyNumberFormat="1" applyFont="1" applyFill="1" applyBorder="1" applyAlignment="1">
      <alignment horizontal="center" vertical="center" wrapText="1"/>
    </xf>
    <xf numFmtId="190" fontId="10" fillId="0" borderId="0" xfId="0" applyNumberFormat="1" applyFont="1" applyFill="1" applyBorder="1" applyAlignment="1">
      <alignment horizontal="center" vertical="center"/>
    </xf>
    <xf numFmtId="0" fontId="35" fillId="0" borderId="10" xfId="0" applyFont="1" applyFill="1" applyBorder="1" applyAlignment="1">
      <alignment horizontal="left" vertical="top" wrapText="1"/>
    </xf>
    <xf numFmtId="190" fontId="16" fillId="0" borderId="0" xfId="0" applyNumberFormat="1" applyFont="1" applyFill="1" applyAlignment="1">
      <alignment/>
    </xf>
    <xf numFmtId="0" fontId="3" fillId="0" borderId="0" xfId="0" applyFont="1" applyFill="1" applyAlignment="1">
      <alignment horizontal="right"/>
    </xf>
    <xf numFmtId="0" fontId="7" fillId="0" borderId="0" xfId="0" applyFont="1" applyFill="1" applyAlignment="1">
      <alignment/>
    </xf>
    <xf numFmtId="0" fontId="7"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0" fontId="40" fillId="0" borderId="0" xfId="0" applyFont="1" applyFill="1" applyAlignment="1">
      <alignment/>
    </xf>
    <xf numFmtId="190" fontId="7" fillId="0" borderId="0" xfId="0" applyNumberFormat="1" applyFont="1" applyFill="1" applyAlignment="1">
      <alignment/>
    </xf>
    <xf numFmtId="190" fontId="3" fillId="0" borderId="10" xfId="0" applyNumberFormat="1" applyFont="1" applyFill="1" applyBorder="1" applyAlignment="1">
      <alignment horizontal="right"/>
    </xf>
    <xf numFmtId="190" fontId="25" fillId="0" borderId="10" xfId="0" applyNumberFormat="1" applyFont="1" applyFill="1" applyBorder="1" applyAlignment="1">
      <alignment horizontal="right"/>
    </xf>
    <xf numFmtId="190" fontId="7" fillId="0" borderId="10" xfId="0" applyNumberFormat="1" applyFont="1" applyFill="1" applyBorder="1" applyAlignment="1">
      <alignment horizontal="right"/>
    </xf>
    <xf numFmtId="188" fontId="7" fillId="0" borderId="0" xfId="0" applyNumberFormat="1" applyFont="1" applyFill="1" applyAlignment="1">
      <alignment/>
    </xf>
    <xf numFmtId="188" fontId="40" fillId="0" borderId="0" xfId="0" applyNumberFormat="1" applyFont="1" applyFill="1" applyAlignment="1">
      <alignment/>
    </xf>
    <xf numFmtId="4" fontId="7" fillId="0" borderId="0" xfId="0" applyNumberFormat="1" applyFont="1" applyFill="1" applyAlignment="1">
      <alignment/>
    </xf>
    <xf numFmtId="183" fontId="7" fillId="0" borderId="0" xfId="0" applyNumberFormat="1" applyFont="1" applyFill="1" applyAlignment="1">
      <alignment/>
    </xf>
    <xf numFmtId="49" fontId="7" fillId="0" borderId="0" xfId="0" applyNumberFormat="1" applyFont="1" applyFill="1" applyAlignment="1">
      <alignment/>
    </xf>
    <xf numFmtId="49" fontId="41" fillId="0" borderId="0" xfId="0" applyNumberFormat="1" applyFont="1" applyFill="1" applyAlignment="1">
      <alignment/>
    </xf>
    <xf numFmtId="0" fontId="7" fillId="0" borderId="0" xfId="0" applyFont="1" applyFill="1" applyAlignment="1">
      <alignment horizontal="center"/>
    </xf>
    <xf numFmtId="4" fontId="40" fillId="0" borderId="0" xfId="0" applyNumberFormat="1" applyFont="1" applyFill="1" applyAlignment="1">
      <alignment/>
    </xf>
    <xf numFmtId="0" fontId="42" fillId="0" borderId="0" xfId="0" applyFont="1" applyFill="1" applyAlignment="1">
      <alignment/>
    </xf>
    <xf numFmtId="188" fontId="42" fillId="0" borderId="0" xfId="0" applyNumberFormat="1" applyFont="1" applyFill="1" applyAlignment="1">
      <alignment/>
    </xf>
    <xf numFmtId="182" fontId="40" fillId="0" borderId="0" xfId="0" applyNumberFormat="1" applyFont="1" applyFill="1" applyAlignment="1">
      <alignment/>
    </xf>
    <xf numFmtId="0" fontId="13" fillId="0" borderId="0" xfId="0" applyFont="1" applyFill="1" applyAlignment="1">
      <alignment/>
    </xf>
    <xf numFmtId="194" fontId="7" fillId="0" borderId="0" xfId="0" applyNumberFormat="1" applyFont="1" applyFill="1" applyAlignment="1">
      <alignment/>
    </xf>
    <xf numFmtId="0" fontId="43" fillId="0" borderId="0" xfId="0" applyFont="1" applyFill="1" applyAlignment="1">
      <alignment/>
    </xf>
    <xf numFmtId="188" fontId="13" fillId="0" borderId="0" xfId="0" applyNumberFormat="1" applyFont="1" applyFill="1" applyAlignment="1">
      <alignment/>
    </xf>
    <xf numFmtId="49" fontId="25" fillId="0" borderId="10" xfId="0" applyNumberFormat="1" applyFont="1" applyFill="1" applyBorder="1" applyAlignment="1">
      <alignment horizontal="center" vertical="center" wrapText="1"/>
    </xf>
    <xf numFmtId="49" fontId="29" fillId="0" borderId="10" xfId="0" applyNumberFormat="1" applyFont="1" applyFill="1" applyBorder="1" applyAlignment="1">
      <alignment horizontal="center" vertical="center" wrapText="1"/>
    </xf>
    <xf numFmtId="49" fontId="29" fillId="0" borderId="10" xfId="0" applyNumberFormat="1" applyFont="1" applyFill="1" applyBorder="1" applyAlignment="1">
      <alignment horizontal="center" vertical="center" wrapText="1" shrinkToFit="1"/>
    </xf>
    <xf numFmtId="49" fontId="9" fillId="0" borderId="10" xfId="0" applyNumberFormat="1" applyFont="1" applyFill="1" applyBorder="1" applyAlignment="1">
      <alignment horizontal="center" vertical="center" wrapText="1"/>
    </xf>
    <xf numFmtId="0" fontId="0" fillId="0" borderId="0" xfId="0" applyFont="1" applyFill="1" applyBorder="1" applyAlignment="1">
      <alignment horizontal="left"/>
    </xf>
    <xf numFmtId="0" fontId="0" fillId="0" borderId="0" xfId="0" applyFont="1" applyFill="1" applyAlignment="1">
      <alignment horizontal="center"/>
    </xf>
    <xf numFmtId="49" fontId="0" fillId="0" borderId="0" xfId="0" applyNumberFormat="1" applyFont="1" applyFill="1" applyBorder="1" applyAlignment="1">
      <alignment horizontal="left"/>
    </xf>
    <xf numFmtId="49" fontId="0" fillId="0" borderId="0" xfId="0" applyNumberFormat="1" applyFont="1" applyFill="1" applyBorder="1" applyAlignment="1">
      <alignment horizontal="center"/>
    </xf>
    <xf numFmtId="0" fontId="9" fillId="0" borderId="10" xfId="0" applyFont="1" applyFill="1" applyBorder="1" applyAlignment="1">
      <alignment horizontal="center" vertical="top" wrapText="1"/>
    </xf>
    <xf numFmtId="49" fontId="9" fillId="0" borderId="10" xfId="0" applyNumberFormat="1" applyFont="1" applyFill="1" applyBorder="1" applyAlignment="1">
      <alignment horizontal="center" vertical="top" wrapText="1"/>
    </xf>
    <xf numFmtId="0" fontId="35" fillId="0" borderId="10" xfId="0" applyFont="1" applyFill="1" applyBorder="1" applyAlignment="1">
      <alignment horizontal="center" vertical="center" wrapText="1"/>
    </xf>
    <xf numFmtId="190" fontId="35" fillId="0" borderId="10" xfId="63" applyNumberFormat="1" applyFont="1" applyFill="1" applyBorder="1" applyAlignment="1">
      <alignment horizontal="center" vertical="center" wrapText="1"/>
    </xf>
    <xf numFmtId="190" fontId="7" fillId="0" borderId="0" xfId="0" applyNumberFormat="1" applyFont="1" applyFill="1" applyAlignment="1">
      <alignment vertical="center"/>
    </xf>
    <xf numFmtId="0" fontId="7" fillId="0" borderId="0" xfId="0" applyFont="1" applyFill="1" applyAlignment="1">
      <alignment vertical="center"/>
    </xf>
    <xf numFmtId="190" fontId="40" fillId="0" borderId="0" xfId="0" applyNumberFormat="1" applyFont="1" applyFill="1" applyAlignment="1">
      <alignment/>
    </xf>
    <xf numFmtId="190" fontId="10" fillId="0" borderId="0" xfId="0" applyNumberFormat="1" applyFont="1" applyFill="1" applyBorder="1" applyAlignment="1">
      <alignment horizontal="center" vertical="center" wrapText="1"/>
    </xf>
    <xf numFmtId="0" fontId="13" fillId="0" borderId="0" xfId="0" applyFont="1" applyFill="1" applyAlignment="1">
      <alignment vertical="center"/>
    </xf>
    <xf numFmtId="190" fontId="13" fillId="0" borderId="0" xfId="0" applyNumberFormat="1" applyFont="1" applyFill="1" applyAlignment="1">
      <alignment/>
    </xf>
    <xf numFmtId="188" fontId="23" fillId="0" borderId="0" xfId="0" applyNumberFormat="1" applyFont="1" applyFill="1" applyAlignment="1">
      <alignment vertical="center"/>
    </xf>
    <xf numFmtId="188" fontId="16" fillId="0" borderId="0" xfId="0" applyNumberFormat="1" applyFont="1" applyFill="1" applyAlignment="1">
      <alignment/>
    </xf>
    <xf numFmtId="0" fontId="25" fillId="0" borderId="10" xfId="0" applyFont="1" applyFill="1" applyBorder="1" applyAlignment="1">
      <alignment horizontal="left" vertical="top" wrapText="1"/>
    </xf>
    <xf numFmtId="0" fontId="3" fillId="0" borderId="0" xfId="0" applyFont="1" applyFill="1" applyAlignment="1">
      <alignment horizontal="left"/>
    </xf>
    <xf numFmtId="0" fontId="2" fillId="0" borderId="0" xfId="0" applyFont="1" applyFill="1" applyAlignment="1">
      <alignment/>
    </xf>
    <xf numFmtId="0" fontId="3" fillId="0" borderId="0" xfId="0" applyFont="1" applyFill="1" applyAlignment="1">
      <alignment horizontal="left" vertical="justify"/>
    </xf>
    <xf numFmtId="182" fontId="0" fillId="0" borderId="0" xfId="0" applyNumberFormat="1" applyFont="1" applyFill="1" applyAlignment="1">
      <alignment/>
    </xf>
    <xf numFmtId="183" fontId="0" fillId="0" borderId="0" xfId="0" applyNumberFormat="1" applyFont="1" applyFill="1" applyAlignment="1">
      <alignment/>
    </xf>
    <xf numFmtId="0" fontId="0" fillId="0" borderId="0" xfId="0" applyFont="1" applyFill="1" applyAlignment="1">
      <alignment horizontal="left"/>
    </xf>
    <xf numFmtId="0" fontId="0" fillId="0" borderId="0" xfId="0" applyFont="1" applyFill="1" applyAlignment="1">
      <alignment horizontal="right"/>
    </xf>
    <xf numFmtId="0" fontId="0" fillId="0" borderId="0" xfId="0" applyFont="1" applyFill="1" applyAlignment="1">
      <alignment horizontal="center" vertical="center" wrapText="1"/>
    </xf>
    <xf numFmtId="4" fontId="3" fillId="0" borderId="11"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188" fontId="10" fillId="0" borderId="11" xfId="0" applyNumberFormat="1" applyFont="1" applyFill="1" applyBorder="1" applyAlignment="1">
      <alignment horizontal="center" vertical="center" wrapText="1"/>
    </xf>
    <xf numFmtId="188" fontId="9" fillId="0" borderId="11" xfId="0" applyNumberFormat="1" applyFont="1" applyFill="1" applyBorder="1" applyAlignment="1">
      <alignment horizontal="center" vertical="center" wrapText="1"/>
    </xf>
    <xf numFmtId="176" fontId="0" fillId="0" borderId="0" xfId="0" applyNumberFormat="1" applyFont="1" applyFill="1" applyAlignment="1">
      <alignment/>
    </xf>
    <xf numFmtId="49" fontId="0" fillId="0" borderId="0" xfId="0" applyNumberFormat="1" applyFont="1" applyFill="1" applyAlignment="1">
      <alignment/>
    </xf>
    <xf numFmtId="2" fontId="0" fillId="0" borderId="0" xfId="0" applyNumberFormat="1" applyFont="1" applyFill="1" applyAlignment="1">
      <alignment/>
    </xf>
    <xf numFmtId="0" fontId="28" fillId="0" borderId="0" xfId="0" applyFont="1" applyFill="1" applyAlignment="1">
      <alignment horizontal="right"/>
    </xf>
    <xf numFmtId="190" fontId="23" fillId="0" borderId="0" xfId="0" applyNumberFormat="1" applyFont="1" applyFill="1" applyAlignment="1">
      <alignment horizontal="center" vertical="center"/>
    </xf>
    <xf numFmtId="190" fontId="23" fillId="0" borderId="0" xfId="0" applyNumberFormat="1" applyFont="1" applyFill="1" applyBorder="1" applyAlignment="1">
      <alignment/>
    </xf>
    <xf numFmtId="190" fontId="9" fillId="0" borderId="10" xfId="0" applyNumberFormat="1" applyFont="1" applyFill="1" applyBorder="1" applyAlignment="1">
      <alignment horizontal="center" vertical="top"/>
    </xf>
    <xf numFmtId="0" fontId="0" fillId="0" borderId="0" xfId="0" applyFont="1" applyFill="1" applyAlignment="1">
      <alignment vertical="center"/>
    </xf>
    <xf numFmtId="190" fontId="10" fillId="0" borderId="0" xfId="63" applyNumberFormat="1" applyFont="1" applyFill="1" applyBorder="1" applyAlignment="1">
      <alignment horizontal="center" vertical="center" wrapText="1"/>
    </xf>
    <xf numFmtId="190" fontId="10" fillId="0" borderId="10" xfId="0" applyNumberFormat="1" applyFont="1" applyFill="1" applyBorder="1" applyAlignment="1">
      <alignment horizontal="center" vertical="center"/>
    </xf>
    <xf numFmtId="49" fontId="44" fillId="0" borderId="0" xfId="0" applyNumberFormat="1" applyFont="1" applyFill="1" applyAlignment="1">
      <alignment/>
    </xf>
    <xf numFmtId="190" fontId="0" fillId="0" borderId="0" xfId="0" applyNumberFormat="1" applyFill="1" applyAlignment="1">
      <alignment/>
    </xf>
    <xf numFmtId="0" fontId="44" fillId="0" borderId="0" xfId="0" applyFont="1" applyFill="1" applyAlignment="1">
      <alignment horizontal="left"/>
    </xf>
    <xf numFmtId="190" fontId="31" fillId="0" borderId="0" xfId="0" applyNumberFormat="1" applyFont="1" applyFill="1" applyAlignment="1">
      <alignment/>
    </xf>
    <xf numFmtId="0" fontId="0" fillId="0" borderId="0" xfId="0" applyFill="1" applyAlignment="1">
      <alignment/>
    </xf>
    <xf numFmtId="190" fontId="35" fillId="0" borderId="10" xfId="0" applyNumberFormat="1" applyFont="1" applyFill="1" applyBorder="1" applyAlignment="1">
      <alignment horizontal="center" vertical="center" wrapText="1"/>
    </xf>
    <xf numFmtId="190" fontId="2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vertical="top" wrapText="1"/>
    </xf>
    <xf numFmtId="0" fontId="10" fillId="0" borderId="10" xfId="0" applyFont="1" applyFill="1" applyBorder="1" applyAlignment="1">
      <alignment/>
    </xf>
    <xf numFmtId="0" fontId="3" fillId="0" borderId="10" xfId="0" applyFont="1" applyFill="1" applyBorder="1" applyAlignment="1">
      <alignment/>
    </xf>
    <xf numFmtId="49" fontId="3" fillId="0" borderId="10" xfId="0" applyNumberFormat="1" applyFont="1" applyFill="1" applyBorder="1" applyAlignment="1">
      <alignment vertical="top" wrapText="1"/>
    </xf>
    <xf numFmtId="0" fontId="3" fillId="0" borderId="0" xfId="0" applyFont="1" applyFill="1" applyAlignment="1">
      <alignment/>
    </xf>
    <xf numFmtId="0" fontId="3" fillId="0" borderId="0" xfId="0" applyFont="1" applyFill="1" applyAlignment="1">
      <alignment horizontal="center"/>
    </xf>
    <xf numFmtId="0" fontId="6" fillId="0" borderId="0" xfId="0" applyFont="1" applyFill="1" applyBorder="1" applyAlignment="1">
      <alignment horizontal="center" vertical="justify" wrapText="1"/>
    </xf>
    <xf numFmtId="0" fontId="3" fillId="0" borderId="0" xfId="0" applyFont="1" applyFill="1" applyBorder="1" applyAlignment="1">
      <alignment horizontal="right" vertical="justify" wrapText="1"/>
    </xf>
    <xf numFmtId="0" fontId="15" fillId="0" borderId="0" xfId="0" applyFont="1" applyFill="1" applyBorder="1" applyAlignment="1">
      <alignment horizontal="left" vertical="justify" wrapText="1"/>
    </xf>
    <xf numFmtId="0" fontId="14" fillId="0" borderId="0" xfId="0" applyFont="1" applyFill="1" applyBorder="1" applyAlignment="1">
      <alignment horizontal="center" vertical="justify" wrapText="1"/>
    </xf>
    <xf numFmtId="0" fontId="4"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2" fontId="3" fillId="0" borderId="10" xfId="0" applyNumberFormat="1" applyFont="1" applyFill="1" applyBorder="1" applyAlignment="1">
      <alignment horizontal="left" vertical="center" wrapText="1"/>
    </xf>
    <xf numFmtId="0" fontId="19" fillId="0" borderId="10" xfId="0" applyFont="1" applyFill="1" applyBorder="1" applyAlignment="1">
      <alignment horizontal="center" vertical="center" wrapText="1"/>
    </xf>
    <xf numFmtId="0" fontId="19" fillId="0" borderId="10" xfId="0" applyFont="1" applyFill="1" applyBorder="1" applyAlignment="1">
      <alignment horizontal="left" vertical="center" wrapText="1"/>
    </xf>
    <xf numFmtId="0" fontId="13" fillId="0" borderId="10" xfId="0" applyFont="1" applyFill="1" applyBorder="1" applyAlignment="1">
      <alignment horizontal="left" vertical="center"/>
    </xf>
    <xf numFmtId="188" fontId="0" fillId="0" borderId="0" xfId="0" applyNumberFormat="1" applyFill="1" applyAlignment="1">
      <alignment/>
    </xf>
    <xf numFmtId="0" fontId="0" fillId="0" borderId="0" xfId="0" applyFont="1" applyFill="1" applyAlignment="1">
      <alignment/>
    </xf>
    <xf numFmtId="190" fontId="10" fillId="0" borderId="10" xfId="63" applyNumberFormat="1" applyFont="1" applyFill="1" applyBorder="1" applyAlignment="1">
      <alignment horizontal="center" vertical="center" wrapText="1"/>
    </xf>
    <xf numFmtId="0" fontId="84" fillId="0" borderId="0" xfId="0" applyFont="1" applyFill="1" applyAlignment="1">
      <alignment/>
    </xf>
    <xf numFmtId="190" fontId="84" fillId="0" borderId="0" xfId="0" applyNumberFormat="1" applyFont="1" applyFill="1" applyAlignment="1">
      <alignment/>
    </xf>
    <xf numFmtId="0" fontId="84" fillId="0" borderId="0" xfId="0" applyFont="1" applyFill="1" applyAlignment="1">
      <alignment horizontal="right"/>
    </xf>
    <xf numFmtId="183" fontId="84" fillId="0" borderId="0" xfId="0" applyNumberFormat="1" applyFont="1" applyFill="1" applyAlignment="1">
      <alignment/>
    </xf>
    <xf numFmtId="0" fontId="84" fillId="0" borderId="0" xfId="0" applyFont="1" applyFill="1" applyAlignment="1">
      <alignment vertical="center"/>
    </xf>
    <xf numFmtId="190" fontId="84" fillId="0" borderId="0" xfId="0" applyNumberFormat="1" applyFont="1" applyFill="1" applyAlignment="1">
      <alignment vertical="center"/>
    </xf>
    <xf numFmtId="183" fontId="16" fillId="0" borderId="0" xfId="0" applyNumberFormat="1" applyFont="1" applyFill="1" applyAlignment="1">
      <alignment/>
    </xf>
    <xf numFmtId="0" fontId="9" fillId="0" borderId="10" xfId="0" applyFont="1" applyFill="1" applyBorder="1" applyAlignment="1">
      <alignment horizontal="left" vertical="center" wrapText="1"/>
    </xf>
    <xf numFmtId="170" fontId="3" fillId="0" borderId="0" xfId="43" applyFont="1" applyFill="1" applyAlignment="1">
      <alignment horizontal="right"/>
    </xf>
    <xf numFmtId="0" fontId="3" fillId="0" borderId="0" xfId="0" applyFont="1" applyFill="1" applyAlignment="1">
      <alignment horizontal="right"/>
    </xf>
    <xf numFmtId="0" fontId="6" fillId="0" borderId="0" xfId="0" applyFont="1" applyFill="1" applyBorder="1" applyAlignment="1">
      <alignment horizontal="center" vertical="justify"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3" fillId="0" borderId="0" xfId="0" applyFont="1" applyFill="1" applyAlignment="1">
      <alignment horizontal="right"/>
    </xf>
    <xf numFmtId="0" fontId="0" fillId="0" borderId="0" xfId="0" applyFont="1" applyFill="1" applyAlignment="1">
      <alignment/>
    </xf>
    <xf numFmtId="0" fontId="6" fillId="0" borderId="0" xfId="0" applyFont="1" applyFill="1" applyAlignment="1">
      <alignment horizontal="center" vertical="justify" wrapText="1"/>
    </xf>
    <xf numFmtId="0" fontId="0" fillId="0" borderId="0" xfId="0" applyFont="1" applyFill="1" applyAlignment="1">
      <alignment horizontal="center"/>
    </xf>
    <xf numFmtId="49" fontId="2" fillId="0" borderId="13" xfId="0" applyNumberFormat="1" applyFont="1" applyFill="1" applyBorder="1" applyAlignment="1">
      <alignment horizontal="center"/>
    </xf>
    <xf numFmtId="0" fontId="10"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center" vertical="justify" wrapText="1"/>
    </xf>
    <xf numFmtId="0" fontId="0" fillId="0" borderId="10" xfId="0" applyFont="1" applyFill="1" applyBorder="1" applyAlignment="1">
      <alignment horizontal="center" vertical="center" wrapText="1"/>
    </xf>
    <xf numFmtId="0" fontId="29" fillId="0" borderId="10" xfId="0" applyFont="1" applyFill="1" applyBorder="1" applyAlignment="1">
      <alignment horizontal="center" vertical="center"/>
    </xf>
    <xf numFmtId="2" fontId="10" fillId="0" borderId="10" xfId="0" applyNumberFormat="1"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0" fontId="35"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4" fillId="0" borderId="0" xfId="0" applyFont="1" applyFill="1" applyAlignment="1">
      <alignment horizontal="center" vertical="center" wrapText="1"/>
    </xf>
    <xf numFmtId="0" fontId="28" fillId="0" borderId="0" xfId="0" applyFont="1" applyFill="1" applyAlignment="1">
      <alignment horizontal="right"/>
    </xf>
    <xf numFmtId="0" fontId="10" fillId="0" borderId="0" xfId="0" applyFont="1" applyFill="1" applyAlignment="1">
      <alignment horizontal="right"/>
    </xf>
    <xf numFmtId="0" fontId="9" fillId="0" borderId="0" xfId="0" applyFont="1" applyFill="1" applyAlignment="1">
      <alignment horizontal="center"/>
    </xf>
    <xf numFmtId="0" fontId="9" fillId="0" borderId="0" xfId="0" applyFont="1" applyFill="1" applyAlignment="1">
      <alignment horizontal="center" vertical="center" wrapText="1"/>
    </xf>
    <xf numFmtId="0" fontId="5" fillId="0" borderId="0" xfId="0" applyFont="1" applyFill="1" applyAlignment="1">
      <alignment horizontal="right"/>
    </xf>
    <xf numFmtId="0" fontId="2" fillId="0" borderId="10"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190" fontId="3" fillId="0" borderId="12" xfId="0" applyNumberFormat="1" applyFont="1" applyFill="1" applyBorder="1" applyAlignment="1">
      <alignment horizontal="center" vertical="center" wrapText="1"/>
    </xf>
    <xf numFmtId="0" fontId="3" fillId="0" borderId="0" xfId="0" applyFont="1" applyFill="1" applyAlignment="1">
      <alignment vertical="top"/>
    </xf>
    <xf numFmtId="0" fontId="3" fillId="0" borderId="0" xfId="0" applyFont="1" applyFill="1" applyAlignment="1">
      <alignment horizontal="right" wrapText="1"/>
    </xf>
    <xf numFmtId="0" fontId="3" fillId="0" borderId="10" xfId="0" applyFont="1" applyFill="1" applyBorder="1" applyAlignment="1">
      <alignment horizontal="center" vertical="center" wrapText="1"/>
    </xf>
    <xf numFmtId="0" fontId="40" fillId="0" borderId="0" xfId="0" applyFont="1" applyFill="1" applyAlignment="1">
      <alignment horizontal="center" vertical="center"/>
    </xf>
    <xf numFmtId="0" fontId="7" fillId="0" borderId="0" xfId="0" applyFont="1" applyFill="1" applyAlignment="1">
      <alignment horizontal="center" vertical="center"/>
    </xf>
    <xf numFmtId="182" fontId="7" fillId="0" borderId="0" xfId="0" applyNumberFormat="1" applyFont="1" applyFill="1" applyAlignment="1">
      <alignment/>
    </xf>
    <xf numFmtId="0" fontId="25" fillId="0" borderId="10" xfId="0" applyFont="1" applyFill="1" applyBorder="1" applyAlignment="1">
      <alignment horizontal="left" vertical="center" wrapText="1"/>
    </xf>
    <xf numFmtId="49" fontId="3" fillId="0" borderId="10" xfId="0" applyNumberFormat="1" applyFont="1" applyFill="1" applyBorder="1" applyAlignment="1">
      <alignment wrapText="1"/>
    </xf>
    <xf numFmtId="49" fontId="25" fillId="0" borderId="0" xfId="0" applyNumberFormat="1" applyFont="1" applyFill="1" applyBorder="1" applyAlignment="1">
      <alignment horizontal="center" vertical="center" wrapText="1" shrinkToFit="1"/>
    </xf>
    <xf numFmtId="192" fontId="7" fillId="0" borderId="0" xfId="0" applyNumberFormat="1" applyFont="1" applyFill="1" applyAlignment="1">
      <alignment/>
    </xf>
    <xf numFmtId="0" fontId="44" fillId="0" borderId="0" xfId="0" applyFont="1" applyFill="1" applyAlignment="1">
      <alignment/>
    </xf>
    <xf numFmtId="0" fontId="32" fillId="0" borderId="0" xfId="0" applyFont="1" applyFill="1" applyAlignment="1">
      <alignment/>
    </xf>
    <xf numFmtId="182" fontId="23" fillId="0" borderId="0" xfId="0" applyNumberFormat="1" applyFont="1" applyFill="1" applyAlignment="1">
      <alignment/>
    </xf>
    <xf numFmtId="190" fontId="85" fillId="0" borderId="0" xfId="0" applyNumberFormat="1" applyFont="1" applyFill="1" applyAlignment="1">
      <alignment/>
    </xf>
    <xf numFmtId="0" fontId="23" fillId="0" borderId="0" xfId="0" applyFont="1" applyFill="1" applyAlignment="1">
      <alignment horizontal="center" vertical="center"/>
    </xf>
    <xf numFmtId="0" fontId="38" fillId="0" borderId="0" xfId="0" applyFont="1" applyFill="1" applyAlignment="1">
      <alignment/>
    </xf>
    <xf numFmtId="0" fontId="23" fillId="0" borderId="0" xfId="0" applyFont="1" applyFill="1" applyAlignment="1">
      <alignment vertical="center"/>
    </xf>
    <xf numFmtId="0" fontId="85" fillId="0" borderId="0" xfId="0" applyFont="1" applyFill="1" applyAlignment="1">
      <alignment/>
    </xf>
    <xf numFmtId="49" fontId="29" fillId="0" borderId="10" xfId="0" applyNumberFormat="1" applyFont="1" applyFill="1" applyBorder="1" applyAlignment="1">
      <alignment horizontal="center" vertical="top" wrapText="1"/>
    </xf>
    <xf numFmtId="0" fontId="9" fillId="0" borderId="10" xfId="0" applyFont="1" applyFill="1" applyBorder="1" applyAlignment="1">
      <alignment horizontal="left"/>
    </xf>
    <xf numFmtId="49" fontId="9" fillId="0" borderId="10" xfId="0" applyNumberFormat="1" applyFont="1" applyFill="1" applyBorder="1" applyAlignment="1">
      <alignment/>
    </xf>
    <xf numFmtId="191" fontId="23" fillId="0" borderId="0" xfId="0" applyNumberFormat="1" applyFont="1" applyFill="1" applyAlignment="1">
      <alignment/>
    </xf>
    <xf numFmtId="0" fontId="6" fillId="0" borderId="0" xfId="0" applyFont="1" applyFill="1" applyAlignment="1">
      <alignment horizontal="center" vertical="center" wrapText="1"/>
    </xf>
    <xf numFmtId="190" fontId="2" fillId="0" borderId="0" xfId="0" applyNumberFormat="1" applyFont="1" applyFill="1" applyAlignment="1">
      <alignment horizontal="right"/>
    </xf>
    <xf numFmtId="0" fontId="30" fillId="0" borderId="10" xfId="0" applyFont="1" applyFill="1" applyBorder="1" applyAlignment="1">
      <alignment horizontal="center" vertical="center" wrapText="1"/>
    </xf>
    <xf numFmtId="3" fontId="30" fillId="0" borderId="10" xfId="0" applyNumberFormat="1" applyFont="1" applyFill="1" applyBorder="1" applyAlignment="1">
      <alignment horizontal="center" vertical="center" wrapText="1"/>
    </xf>
    <xf numFmtId="0" fontId="1" fillId="0" borderId="0" xfId="0" applyFont="1" applyFill="1" applyAlignment="1">
      <alignment/>
    </xf>
    <xf numFmtId="0" fontId="4" fillId="0" borderId="10" xfId="0" applyFont="1" applyFill="1" applyBorder="1" applyAlignment="1">
      <alignment horizontal="left" vertical="center" wrapText="1"/>
    </xf>
    <xf numFmtId="190" fontId="34" fillId="0" borderId="0" xfId="0" applyNumberFormat="1" applyFont="1" applyFill="1" applyAlignment="1">
      <alignment/>
    </xf>
    <xf numFmtId="0" fontId="86" fillId="0" borderId="0" xfId="0" applyFont="1" applyFill="1" applyAlignment="1">
      <alignment horizontal="center"/>
    </xf>
    <xf numFmtId="0" fontId="34" fillId="0" borderId="0" xfId="0" applyFont="1" applyFill="1" applyAlignment="1">
      <alignment/>
    </xf>
    <xf numFmtId="190" fontId="26" fillId="0" borderId="0" xfId="0" applyNumberFormat="1" applyFont="1" applyFill="1" applyAlignment="1">
      <alignment/>
    </xf>
    <xf numFmtId="0" fontId="87" fillId="0" borderId="0" xfId="0" applyFont="1" applyFill="1" applyAlignment="1">
      <alignment/>
    </xf>
    <xf numFmtId="4" fontId="9" fillId="0" borderId="0" xfId="0" applyNumberFormat="1" applyFont="1" applyFill="1" applyAlignment="1">
      <alignment/>
    </xf>
    <xf numFmtId="0" fontId="4" fillId="0" borderId="0" xfId="0" applyFont="1" applyFill="1" applyAlignment="1">
      <alignment/>
    </xf>
    <xf numFmtId="0" fontId="27" fillId="0" borderId="0" xfId="0" applyFont="1" applyFill="1" applyAlignment="1">
      <alignment/>
    </xf>
    <xf numFmtId="188" fontId="3" fillId="0" borderId="0" xfId="0" applyNumberFormat="1" applyFont="1" applyFill="1" applyAlignment="1">
      <alignment/>
    </xf>
    <xf numFmtId="0" fontId="2" fillId="0" borderId="0" xfId="0" applyFont="1" applyFill="1" applyAlignment="1">
      <alignment/>
    </xf>
    <xf numFmtId="4" fontId="24" fillId="0" borderId="0" xfId="0" applyNumberFormat="1" applyFont="1" applyFill="1" applyAlignment="1">
      <alignment/>
    </xf>
    <xf numFmtId="190" fontId="9" fillId="0" borderId="0" xfId="0" applyNumberFormat="1" applyFont="1" applyFill="1" applyAlignment="1">
      <alignment/>
    </xf>
    <xf numFmtId="0" fontId="9" fillId="0" borderId="10" xfId="0" applyFont="1" applyFill="1" applyBorder="1" applyAlignment="1">
      <alignment horizontal="left" vertical="top" wrapText="1"/>
    </xf>
    <xf numFmtId="183" fontId="23" fillId="0" borderId="0" xfId="0" applyNumberFormat="1" applyFont="1" applyFill="1" applyAlignment="1">
      <alignment/>
    </xf>
    <xf numFmtId="0" fontId="2" fillId="0" borderId="0" xfId="0" applyFont="1" applyFill="1" applyAlignment="1">
      <alignment/>
    </xf>
    <xf numFmtId="190" fontId="3" fillId="0" borderId="0" xfId="0" applyNumberFormat="1" applyFont="1" applyFill="1" applyAlignment="1">
      <alignment/>
    </xf>
    <xf numFmtId="0" fontId="31" fillId="0" borderId="0" xfId="0" applyFont="1" applyFill="1" applyAlignment="1">
      <alignment horizontal="left"/>
    </xf>
    <xf numFmtId="0" fontId="3" fillId="0" borderId="0" xfId="0" applyFont="1" applyFill="1" applyBorder="1" applyAlignment="1">
      <alignment/>
    </xf>
    <xf numFmtId="0" fontId="3" fillId="0" borderId="0" xfId="0" applyFont="1" applyFill="1" applyBorder="1" applyAlignment="1">
      <alignment vertical="top"/>
    </xf>
    <xf numFmtId="0" fontId="21" fillId="0" borderId="0" xfId="0" applyFont="1" applyFill="1" applyBorder="1" applyAlignment="1">
      <alignment/>
    </xf>
    <xf numFmtId="0" fontId="3" fillId="0" borderId="16"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22" fillId="0" borderId="0" xfId="0" applyFont="1" applyFill="1" applyAlignment="1">
      <alignment horizontal="center"/>
    </xf>
    <xf numFmtId="4" fontId="25" fillId="0" borderId="11" xfId="0" applyNumberFormat="1" applyFont="1" applyFill="1" applyBorder="1" applyAlignment="1">
      <alignment horizontal="center" vertical="center" wrapText="1"/>
    </xf>
    <xf numFmtId="4" fontId="25" fillId="0" borderId="10" xfId="0" applyNumberFormat="1" applyFont="1" applyFill="1" applyBorder="1" applyAlignment="1">
      <alignment horizontal="center" vertical="center" wrapText="1"/>
    </xf>
    <xf numFmtId="188" fontId="3" fillId="0" borderId="11" xfId="0" applyNumberFormat="1" applyFont="1" applyFill="1" applyBorder="1" applyAlignment="1">
      <alignment horizontal="center" vertical="center" wrapText="1"/>
    </xf>
    <xf numFmtId="188" fontId="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wrapText="1"/>
    </xf>
    <xf numFmtId="2" fontId="3" fillId="0" borderId="0" xfId="0" applyNumberFormat="1" applyFont="1" applyFill="1"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E23"/>
  <sheetViews>
    <sheetView tabSelected="1" view="pageBreakPreview" zoomScaleSheetLayoutView="100" zoomScalePageLayoutView="0" workbookViewId="0" topLeftCell="A4">
      <selection activeCell="B14" sqref="B14"/>
    </sheetView>
  </sheetViews>
  <sheetFormatPr defaultColWidth="9.00390625" defaultRowHeight="12.75"/>
  <cols>
    <col min="1" max="1" width="24.50390625" style="215" customWidth="1"/>
    <col min="2" max="2" width="43.625" style="215" customWidth="1"/>
    <col min="3" max="3" width="19.375" style="215" customWidth="1"/>
    <col min="4" max="4" width="11.625" style="215" bestFit="1" customWidth="1"/>
    <col min="5" max="16384" width="8.875" style="215" customWidth="1"/>
  </cols>
  <sheetData>
    <row r="1" spans="1:3" ht="15">
      <c r="A1" s="222"/>
      <c r="B1" s="223"/>
      <c r="C1" s="1" t="s">
        <v>170</v>
      </c>
    </row>
    <row r="2" spans="1:3" ht="16.5" customHeight="1">
      <c r="A2" s="222"/>
      <c r="B2" s="223"/>
      <c r="C2" s="1" t="s">
        <v>387</v>
      </c>
    </row>
    <row r="3" spans="1:3" ht="16.5" customHeight="1">
      <c r="A3" s="222"/>
      <c r="B3" s="246" t="s">
        <v>388</v>
      </c>
      <c r="C3" s="246"/>
    </row>
    <row r="4" spans="1:3" s="33" customFormat="1" ht="16.5" customHeight="1">
      <c r="A4" s="222"/>
      <c r="B4" s="247" t="s">
        <v>948</v>
      </c>
      <c r="C4" s="247"/>
    </row>
    <row r="5" spans="1:3" ht="16.5" customHeight="1">
      <c r="A5" s="222"/>
      <c r="B5" s="1"/>
      <c r="C5" s="1"/>
    </row>
    <row r="6" spans="1:3" ht="38.25" customHeight="1">
      <c r="A6" s="248" t="s">
        <v>790</v>
      </c>
      <c r="B6" s="248"/>
      <c r="C6" s="248"/>
    </row>
    <row r="7" spans="1:3" ht="15.75" customHeight="1">
      <c r="A7" s="224"/>
      <c r="B7" s="224"/>
      <c r="C7" s="225" t="s">
        <v>326</v>
      </c>
    </row>
    <row r="8" spans="1:3" ht="3.75" customHeight="1" hidden="1">
      <c r="A8" s="226" t="s">
        <v>300</v>
      </c>
      <c r="B8" s="227"/>
      <c r="C8" s="227"/>
    </row>
    <row r="9" spans="1:3" ht="16.5" customHeight="1">
      <c r="A9" s="249" t="s">
        <v>131</v>
      </c>
      <c r="B9" s="249" t="s">
        <v>288</v>
      </c>
      <c r="C9" s="250" t="s">
        <v>791</v>
      </c>
    </row>
    <row r="10" spans="1:3" ht="16.5" customHeight="1">
      <c r="A10" s="249"/>
      <c r="B10" s="249"/>
      <c r="C10" s="250"/>
    </row>
    <row r="11" spans="1:3" ht="22.5" customHeight="1">
      <c r="A11" s="249"/>
      <c r="B11" s="249"/>
      <c r="C11" s="250"/>
    </row>
    <row r="12" spans="1:3" ht="34.5" customHeight="1">
      <c r="A12" s="4" t="s">
        <v>289</v>
      </c>
      <c r="B12" s="228" t="s">
        <v>290</v>
      </c>
      <c r="C12" s="115">
        <f>C13+C14</f>
        <v>5838.579200000001</v>
      </c>
    </row>
    <row r="13" spans="1:3" ht="52.5" customHeight="1">
      <c r="A13" s="23" t="s">
        <v>291</v>
      </c>
      <c r="B13" s="229" t="s">
        <v>292</v>
      </c>
      <c r="C13" s="64">
        <f>(4737.01064+2500-439.05279)</f>
        <v>6797.957850000001</v>
      </c>
    </row>
    <row r="14" spans="1:4" ht="50.25" customHeight="1">
      <c r="A14" s="30" t="s">
        <v>293</v>
      </c>
      <c r="B14" s="230" t="s">
        <v>294</v>
      </c>
      <c r="C14" s="64">
        <v>-959.37865</v>
      </c>
      <c r="D14" s="212"/>
    </row>
    <row r="15" spans="1:3" ht="51" customHeight="1">
      <c r="A15" s="4" t="s">
        <v>295</v>
      </c>
      <c r="B15" s="228" t="s">
        <v>296</v>
      </c>
      <c r="C15" s="115">
        <f>C16+C17</f>
        <v>-3338.5791999999997</v>
      </c>
    </row>
    <row r="16" spans="1:3" ht="63" customHeight="1">
      <c r="A16" s="30" t="s">
        <v>230</v>
      </c>
      <c r="B16" s="231" t="s">
        <v>301</v>
      </c>
      <c r="C16" s="132">
        <v>0</v>
      </c>
    </row>
    <row r="17" spans="1:3" ht="67.5" customHeight="1">
      <c r="A17" s="232" t="s">
        <v>231</v>
      </c>
      <c r="B17" s="233" t="s">
        <v>302</v>
      </c>
      <c r="C17" s="64">
        <f>-(1680+2097.63199-439.05279)</f>
        <v>-3338.5791999999997</v>
      </c>
    </row>
    <row r="18" spans="1:3" ht="36" customHeight="1">
      <c r="A18" s="4" t="s">
        <v>341</v>
      </c>
      <c r="B18" s="228" t="s">
        <v>342</v>
      </c>
      <c r="C18" s="115">
        <f>C19+C20</f>
        <v>29019.05613000004</v>
      </c>
    </row>
    <row r="19" spans="1:3" ht="36" customHeight="1">
      <c r="A19" s="23" t="s">
        <v>0</v>
      </c>
      <c r="B19" s="229" t="s">
        <v>1</v>
      </c>
      <c r="C19" s="280">
        <f>-(530465.55131+7237.01064+413+11036.54-439.05279+16097.19673+18499.52934+16887.44363+6406.42+2015.109+7317.43959+3300)</f>
        <v>-619236.1874500001</v>
      </c>
    </row>
    <row r="20" spans="1:3" ht="39" customHeight="1">
      <c r="A20" s="23" t="s">
        <v>2</v>
      </c>
      <c r="B20" s="229" t="s">
        <v>3</v>
      </c>
      <c r="C20" s="64">
        <f>561984.60744+959.37865+3777.63199+413+11036.54-439.05279+16097.19673+18499.52934+16887.44363+6406.42+2015.109+7317.43959+3300</f>
        <v>648255.2435800001</v>
      </c>
    </row>
    <row r="21" spans="1:5" ht="19.5" customHeight="1">
      <c r="A21" s="4"/>
      <c r="B21" s="234" t="s">
        <v>303</v>
      </c>
      <c r="C21" s="217">
        <f>C12+C15+C18</f>
        <v>31519.05613000004</v>
      </c>
      <c r="E21" s="235"/>
    </row>
    <row r="22" spans="1:3" s="236" customFormat="1" ht="21.75" customHeight="1">
      <c r="A22" s="215"/>
      <c r="B22" s="215"/>
      <c r="C22" s="215"/>
    </row>
    <row r="23" spans="1:3" s="22" customFormat="1" ht="12.75">
      <c r="A23" s="215"/>
      <c r="B23" s="215"/>
      <c r="C23" s="215"/>
    </row>
  </sheetData>
  <sheetProtection/>
  <mergeCells count="6">
    <mergeCell ref="B3:C3"/>
    <mergeCell ref="B4:C4"/>
    <mergeCell ref="A6:C6"/>
    <mergeCell ref="A9:A11"/>
    <mergeCell ref="B9:B11"/>
    <mergeCell ref="C9:C11"/>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I107"/>
  <sheetViews>
    <sheetView view="pageBreakPreview" zoomScaleSheetLayoutView="100" zoomScalePageLayoutView="0" workbookViewId="0" topLeftCell="A91">
      <selection activeCell="C104" sqref="C104:G107"/>
    </sheetView>
  </sheetViews>
  <sheetFormatPr defaultColWidth="8.625" defaultRowHeight="12.75"/>
  <cols>
    <col min="1" max="1" width="23.375" style="194" customWidth="1"/>
    <col min="2" max="2" width="9.375" style="136" customWidth="1"/>
    <col min="3" max="3" width="44.625" style="136" customWidth="1"/>
    <col min="4" max="4" width="16.00390625" style="125" hidden="1" customWidth="1"/>
    <col min="5" max="5" width="16.00390625" style="125" customWidth="1"/>
    <col min="6" max="6" width="15.50390625" style="125" hidden="1" customWidth="1"/>
    <col min="7" max="8" width="13.875" style="33" customWidth="1"/>
    <col min="9" max="16384" width="8.625" style="33" customWidth="1"/>
  </cols>
  <sheetData>
    <row r="1" spans="1:5" ht="15">
      <c r="A1" s="189"/>
      <c r="B1" s="190"/>
      <c r="C1" s="254" t="s">
        <v>439</v>
      </c>
      <c r="D1" s="255"/>
      <c r="E1" s="255"/>
    </row>
    <row r="2" spans="1:9" ht="15">
      <c r="A2" s="189"/>
      <c r="B2" s="190"/>
      <c r="C2" s="247" t="s">
        <v>387</v>
      </c>
      <c r="D2" s="247"/>
      <c r="E2" s="247"/>
      <c r="H2" s="7"/>
      <c r="I2" s="124"/>
    </row>
    <row r="3" spans="1:9" ht="15">
      <c r="A3" s="189"/>
      <c r="B3" s="190"/>
      <c r="C3" s="247" t="s">
        <v>388</v>
      </c>
      <c r="D3" s="247"/>
      <c r="E3" s="247"/>
      <c r="H3" s="247"/>
      <c r="I3" s="247"/>
    </row>
    <row r="4" spans="1:9" ht="13.5" customHeight="1">
      <c r="A4" s="189"/>
      <c r="B4" s="190"/>
      <c r="C4" s="247" t="s">
        <v>948</v>
      </c>
      <c r="D4" s="255"/>
      <c r="E4" s="255"/>
      <c r="H4" s="7"/>
      <c r="I4" s="124"/>
    </row>
    <row r="5" spans="1:9" ht="15">
      <c r="A5" s="189"/>
      <c r="B5" s="190"/>
      <c r="C5" s="190"/>
      <c r="H5" s="247"/>
      <c r="I5" s="247"/>
    </row>
    <row r="6" spans="1:5" ht="20.25" customHeight="1">
      <c r="A6" s="256" t="s">
        <v>760</v>
      </c>
      <c r="B6" s="256"/>
      <c r="C6" s="256"/>
      <c r="D6" s="256"/>
      <c r="E6" s="257"/>
    </row>
    <row r="7" spans="1:6" ht="15" customHeight="1">
      <c r="A7" s="191"/>
      <c r="B7" s="258"/>
      <c r="C7" s="258"/>
      <c r="D7" s="130"/>
      <c r="E7" s="130" t="s">
        <v>130</v>
      </c>
      <c r="F7" s="123"/>
    </row>
    <row r="8" spans="1:6" ht="15" customHeight="1">
      <c r="A8" s="259" t="s">
        <v>131</v>
      </c>
      <c r="B8" s="259" t="s">
        <v>329</v>
      </c>
      <c r="C8" s="259"/>
      <c r="D8" s="260" t="s">
        <v>797</v>
      </c>
      <c r="E8" s="260" t="s">
        <v>818</v>
      </c>
      <c r="F8" s="261" t="s">
        <v>631</v>
      </c>
    </row>
    <row r="9" spans="1:6" ht="67.5" customHeight="1">
      <c r="A9" s="259"/>
      <c r="B9" s="259"/>
      <c r="C9" s="259"/>
      <c r="D9" s="260"/>
      <c r="E9" s="260"/>
      <c r="F9" s="261"/>
    </row>
    <row r="10" spans="1:8" ht="18.75" customHeight="1">
      <c r="A10" s="128" t="s">
        <v>235</v>
      </c>
      <c r="B10" s="262" t="s">
        <v>236</v>
      </c>
      <c r="C10" s="262"/>
      <c r="D10" s="94">
        <f>D11+D13+D15+D20+D22+D30+D32+D35+D39+D40</f>
        <v>211636</v>
      </c>
      <c r="E10" s="94">
        <f>E11+E13+E15+E20+E22+E30+E32+E35+E39+E40</f>
        <v>240365.1</v>
      </c>
      <c r="F10" s="94">
        <f>F11+F13+F15+F20+F22+F30+F32+F35+F39+F40</f>
        <v>28098.1</v>
      </c>
      <c r="G10" s="66"/>
      <c r="H10" s="66"/>
    </row>
    <row r="11" spans="1:7" ht="15" customHeight="1">
      <c r="A11" s="128" t="s">
        <v>237</v>
      </c>
      <c r="B11" s="259" t="s">
        <v>247</v>
      </c>
      <c r="C11" s="259"/>
      <c r="D11" s="94">
        <f>SUM(D12)</f>
        <v>173894</v>
      </c>
      <c r="E11" s="94">
        <f>SUM(E12)</f>
        <v>191984</v>
      </c>
      <c r="F11" s="94">
        <f>SUM(F12)</f>
        <v>18090</v>
      </c>
      <c r="G11" s="66"/>
    </row>
    <row r="12" spans="1:7" ht="15" customHeight="1">
      <c r="A12" s="58" t="s">
        <v>385</v>
      </c>
      <c r="B12" s="259" t="s">
        <v>248</v>
      </c>
      <c r="C12" s="259"/>
      <c r="D12" s="126">
        <v>173894</v>
      </c>
      <c r="E12" s="126">
        <f>185984+6000</f>
        <v>191984</v>
      </c>
      <c r="F12" s="126">
        <f>E12-D12</f>
        <v>18090</v>
      </c>
      <c r="G12" s="66"/>
    </row>
    <row r="13" spans="1:7" ht="45" customHeight="1">
      <c r="A13" s="128" t="s">
        <v>430</v>
      </c>
      <c r="B13" s="259" t="s">
        <v>431</v>
      </c>
      <c r="C13" s="259"/>
      <c r="D13" s="94">
        <f>SUM(D14)</f>
        <v>14759</v>
      </c>
      <c r="E13" s="94">
        <f>SUM(E14)</f>
        <v>13960</v>
      </c>
      <c r="F13" s="94">
        <f>SUM(F14)</f>
        <v>-799</v>
      </c>
      <c r="G13" s="66"/>
    </row>
    <row r="14" spans="1:6" ht="29.25" customHeight="1">
      <c r="A14" s="58" t="s">
        <v>428</v>
      </c>
      <c r="B14" s="259" t="s">
        <v>429</v>
      </c>
      <c r="C14" s="259"/>
      <c r="D14" s="126">
        <v>14759</v>
      </c>
      <c r="E14" s="126">
        <f>14759-799</f>
        <v>13960</v>
      </c>
      <c r="F14" s="126">
        <f>E14-D14</f>
        <v>-799</v>
      </c>
    </row>
    <row r="15" spans="1:6" ht="15" customHeight="1">
      <c r="A15" s="128" t="s">
        <v>249</v>
      </c>
      <c r="B15" s="259" t="s">
        <v>251</v>
      </c>
      <c r="C15" s="259"/>
      <c r="D15" s="94">
        <f>SUM(D16:D19)</f>
        <v>3640</v>
      </c>
      <c r="E15" s="94">
        <f>SUM(E16:E19)</f>
        <v>9766</v>
      </c>
      <c r="F15" s="94">
        <f>SUM(F16:F19)</f>
        <v>5495</v>
      </c>
    </row>
    <row r="16" spans="1:6" ht="30" customHeight="1">
      <c r="A16" s="58" t="s">
        <v>761</v>
      </c>
      <c r="B16" s="259" t="s">
        <v>625</v>
      </c>
      <c r="C16" s="259"/>
      <c r="D16" s="126">
        <v>249</v>
      </c>
      <c r="E16" s="126">
        <f>249+202</f>
        <v>451</v>
      </c>
      <c r="F16" s="126">
        <f>E16-D16</f>
        <v>202</v>
      </c>
    </row>
    <row r="17" spans="1:6" ht="30" customHeight="1">
      <c r="A17" s="58" t="s">
        <v>402</v>
      </c>
      <c r="B17" s="259" t="s">
        <v>252</v>
      </c>
      <c r="C17" s="259"/>
      <c r="D17" s="126">
        <v>2163</v>
      </c>
      <c r="E17" s="126">
        <f>2163+200+149+282</f>
        <v>2794</v>
      </c>
      <c r="F17" s="126"/>
    </row>
    <row r="18" spans="1:6" ht="22.5" customHeight="1">
      <c r="A18" s="58" t="s">
        <v>403</v>
      </c>
      <c r="B18" s="259" t="s">
        <v>253</v>
      </c>
      <c r="C18" s="259"/>
      <c r="D18" s="126">
        <v>1146</v>
      </c>
      <c r="E18" s="126">
        <f>1146+213+8-8+162</f>
        <v>1521</v>
      </c>
      <c r="F18" s="126">
        <f>E18-D18</f>
        <v>375</v>
      </c>
    </row>
    <row r="19" spans="1:6" ht="45" customHeight="1">
      <c r="A19" s="58" t="s">
        <v>432</v>
      </c>
      <c r="B19" s="259" t="s">
        <v>433</v>
      </c>
      <c r="C19" s="259"/>
      <c r="D19" s="126">
        <v>82</v>
      </c>
      <c r="E19" s="126">
        <f>82+68+800+1465+10+8+158+31+700+213+350+1115</f>
        <v>5000</v>
      </c>
      <c r="F19" s="126">
        <f>E19-D19</f>
        <v>4918</v>
      </c>
    </row>
    <row r="20" spans="1:6" ht="15" customHeight="1">
      <c r="A20" s="128" t="s">
        <v>254</v>
      </c>
      <c r="B20" s="259" t="s">
        <v>255</v>
      </c>
      <c r="C20" s="259"/>
      <c r="D20" s="94">
        <f>SUM(D21:D21)</f>
        <v>2900</v>
      </c>
      <c r="E20" s="94">
        <f>SUM(E21:E21)</f>
        <v>2500</v>
      </c>
      <c r="F20" s="94">
        <f>SUM(F21:F21)</f>
        <v>-400</v>
      </c>
    </row>
    <row r="21" spans="1:6" ht="46.5" customHeight="1">
      <c r="A21" s="13" t="s">
        <v>434</v>
      </c>
      <c r="B21" s="263" t="s">
        <v>7</v>
      </c>
      <c r="C21" s="263"/>
      <c r="D21" s="126">
        <v>2900</v>
      </c>
      <c r="E21" s="126">
        <f>2900-400</f>
        <v>2500</v>
      </c>
      <c r="F21" s="126">
        <f>E21-D21</f>
        <v>-400</v>
      </c>
    </row>
    <row r="22" spans="1:6" ht="52.5" customHeight="1">
      <c r="A22" s="128" t="s">
        <v>256</v>
      </c>
      <c r="B22" s="259" t="s">
        <v>404</v>
      </c>
      <c r="C22" s="259"/>
      <c r="D22" s="94">
        <f>SUM(D23:D29)</f>
        <v>7946</v>
      </c>
      <c r="E22" s="94">
        <f>SUM(E23:E29)</f>
        <v>9890</v>
      </c>
      <c r="F22" s="94">
        <f>SUM(F23:F29)</f>
        <v>1944</v>
      </c>
    </row>
    <row r="23" spans="1:6" ht="99" customHeight="1">
      <c r="A23" s="58" t="s">
        <v>4</v>
      </c>
      <c r="B23" s="259" t="s">
        <v>474</v>
      </c>
      <c r="C23" s="259"/>
      <c r="D23" s="210">
        <v>515</v>
      </c>
      <c r="E23" s="210">
        <f>515+55+1645-1675+231</f>
        <v>771</v>
      </c>
      <c r="F23" s="126">
        <f aca="true" t="shared" si="0" ref="F23:F29">E23-D23</f>
        <v>256</v>
      </c>
    </row>
    <row r="24" spans="1:6" ht="95.25" customHeight="1" hidden="1">
      <c r="A24" s="58" t="s">
        <v>6</v>
      </c>
      <c r="B24" s="259" t="s">
        <v>613</v>
      </c>
      <c r="C24" s="259"/>
      <c r="D24" s="210"/>
      <c r="E24" s="210"/>
      <c r="F24" s="126">
        <f t="shared" si="0"/>
        <v>0</v>
      </c>
    </row>
    <row r="25" spans="1:7" ht="75.75" customHeight="1">
      <c r="A25" s="58" t="s">
        <v>214</v>
      </c>
      <c r="B25" s="259" t="s">
        <v>822</v>
      </c>
      <c r="C25" s="259"/>
      <c r="D25" s="210">
        <v>5400</v>
      </c>
      <c r="E25" s="210">
        <f>5400+25-900+1675+344+337</f>
        <v>6881</v>
      </c>
      <c r="F25" s="126">
        <f t="shared" si="0"/>
        <v>1481</v>
      </c>
      <c r="G25" s="66"/>
    </row>
    <row r="26" spans="1:6" ht="78" customHeight="1">
      <c r="A26" s="58" t="s">
        <v>310</v>
      </c>
      <c r="B26" s="259" t="s">
        <v>226</v>
      </c>
      <c r="C26" s="259"/>
      <c r="D26" s="210">
        <v>103</v>
      </c>
      <c r="E26" s="210">
        <f>103+92+15</f>
        <v>210</v>
      </c>
      <c r="F26" s="126">
        <f t="shared" si="0"/>
        <v>107</v>
      </c>
    </row>
    <row r="27" spans="1:6" ht="83.25" customHeight="1">
      <c r="A27" s="58" t="s">
        <v>165</v>
      </c>
      <c r="B27" s="259" t="s">
        <v>407</v>
      </c>
      <c r="C27" s="259"/>
      <c r="D27" s="126">
        <v>1928</v>
      </c>
      <c r="E27" s="126">
        <v>32</v>
      </c>
      <c r="F27" s="126">
        <f t="shared" si="0"/>
        <v>-1896</v>
      </c>
    </row>
    <row r="28" spans="1:6" ht="50.25" customHeight="1">
      <c r="A28" s="58" t="s">
        <v>321</v>
      </c>
      <c r="B28" s="259" t="s">
        <v>947</v>
      </c>
      <c r="C28" s="259"/>
      <c r="D28" s="126"/>
      <c r="E28" s="126">
        <v>1996</v>
      </c>
      <c r="F28" s="126">
        <f t="shared" si="0"/>
        <v>1996</v>
      </c>
    </row>
    <row r="29" spans="1:6" ht="87" customHeight="1" hidden="1">
      <c r="A29" s="58" t="s">
        <v>166</v>
      </c>
      <c r="B29" s="259" t="s">
        <v>409</v>
      </c>
      <c r="C29" s="259"/>
      <c r="D29" s="126"/>
      <c r="E29" s="126"/>
      <c r="F29" s="126">
        <f t="shared" si="0"/>
        <v>0</v>
      </c>
    </row>
    <row r="30" spans="1:6" ht="31.5" customHeight="1">
      <c r="A30" s="128" t="s">
        <v>257</v>
      </c>
      <c r="B30" s="259" t="s">
        <v>258</v>
      </c>
      <c r="C30" s="259"/>
      <c r="D30" s="94">
        <f>SUM(D31)</f>
        <v>538</v>
      </c>
      <c r="E30" s="94">
        <f>SUM(E31)</f>
        <v>1468</v>
      </c>
      <c r="F30" s="94">
        <f>SUM(F31)</f>
        <v>930</v>
      </c>
    </row>
    <row r="31" spans="1:6" ht="24" customHeight="1">
      <c r="A31" s="58" t="s">
        <v>386</v>
      </c>
      <c r="B31" s="259" t="s">
        <v>259</v>
      </c>
      <c r="C31" s="259"/>
      <c r="D31" s="95">
        <v>538</v>
      </c>
      <c r="E31" s="95">
        <f>538+840+90</f>
        <v>1468</v>
      </c>
      <c r="F31" s="126">
        <f>E31-D31</f>
        <v>930</v>
      </c>
    </row>
    <row r="32" spans="1:6" ht="31.5" customHeight="1">
      <c r="A32" s="128" t="s">
        <v>260</v>
      </c>
      <c r="B32" s="259" t="s">
        <v>261</v>
      </c>
      <c r="C32" s="259"/>
      <c r="D32" s="94">
        <f>SUM(D33:D34)</f>
        <v>1057</v>
      </c>
      <c r="E32" s="94">
        <f>SUM(E33:E34)</f>
        <v>1057</v>
      </c>
      <c r="F32" s="94">
        <f>SUM(F33:F34)</f>
        <v>0</v>
      </c>
    </row>
    <row r="33" spans="1:8" ht="41.25" customHeight="1">
      <c r="A33" s="58" t="s">
        <v>410</v>
      </c>
      <c r="B33" s="259" t="s">
        <v>411</v>
      </c>
      <c r="C33" s="259"/>
      <c r="D33" s="126">
        <f>90+144</f>
        <v>234</v>
      </c>
      <c r="E33" s="126">
        <f>90+144</f>
        <v>234</v>
      </c>
      <c r="F33" s="126">
        <f>E33-D33</f>
        <v>0</v>
      </c>
      <c r="G33" s="66"/>
      <c r="H33" s="66"/>
    </row>
    <row r="34" spans="1:6" ht="51.75" customHeight="1">
      <c r="A34" s="58" t="s">
        <v>614</v>
      </c>
      <c r="B34" s="259" t="s">
        <v>615</v>
      </c>
      <c r="C34" s="259"/>
      <c r="D34" s="126">
        <v>823</v>
      </c>
      <c r="E34" s="126">
        <v>823</v>
      </c>
      <c r="F34" s="126">
        <f>E34-D34</f>
        <v>0</v>
      </c>
    </row>
    <row r="35" spans="1:6" ht="36" customHeight="1">
      <c r="A35" s="128" t="s">
        <v>262</v>
      </c>
      <c r="B35" s="259" t="s">
        <v>263</v>
      </c>
      <c r="C35" s="259"/>
      <c r="D35" s="94">
        <f>SUM(D36:D38)</f>
        <v>3887</v>
      </c>
      <c r="E35" s="94">
        <f>SUM(E36:E38)</f>
        <v>8225.099999999999</v>
      </c>
      <c r="F35" s="94">
        <f>SUM(F36:F38)</f>
        <v>4338.099999999999</v>
      </c>
    </row>
    <row r="36" spans="1:8" ht="87" customHeight="1">
      <c r="A36" s="58" t="s">
        <v>412</v>
      </c>
      <c r="B36" s="259" t="s">
        <v>424</v>
      </c>
      <c r="C36" s="259"/>
      <c r="D36" s="126">
        <f>1041+425+2081</f>
        <v>3547</v>
      </c>
      <c r="E36" s="126">
        <f>1041+425+2081+62.4+759-632.3</f>
        <v>3736.0999999999995</v>
      </c>
      <c r="F36" s="126">
        <f>E36-D36</f>
        <v>189.09999999999945</v>
      </c>
      <c r="G36" s="208"/>
      <c r="H36" s="66"/>
    </row>
    <row r="37" spans="1:6" ht="55.5" customHeight="1">
      <c r="A37" s="13" t="s">
        <v>487</v>
      </c>
      <c r="B37" s="259" t="s">
        <v>752</v>
      </c>
      <c r="C37" s="259"/>
      <c r="D37" s="126">
        <v>340</v>
      </c>
      <c r="E37" s="126">
        <f>340+250+141+82</f>
        <v>813</v>
      </c>
      <c r="F37" s="126">
        <f>E37-D37</f>
        <v>473</v>
      </c>
    </row>
    <row r="38" spans="1:6" ht="57" customHeight="1">
      <c r="A38" s="13" t="s">
        <v>525</v>
      </c>
      <c r="B38" s="259" t="s">
        <v>227</v>
      </c>
      <c r="C38" s="259"/>
      <c r="D38" s="126"/>
      <c r="E38" s="126">
        <f>376+3300</f>
        <v>3676</v>
      </c>
      <c r="F38" s="126">
        <f>E38-D38</f>
        <v>3676</v>
      </c>
    </row>
    <row r="39" spans="1:6" ht="19.5" customHeight="1">
      <c r="A39" s="128" t="s">
        <v>264</v>
      </c>
      <c r="B39" s="259" t="s">
        <v>265</v>
      </c>
      <c r="C39" s="259"/>
      <c r="D39" s="127">
        <f>1500+15+1200</f>
        <v>2715</v>
      </c>
      <c r="E39" s="127">
        <f>1500+15+1200-1500</f>
        <v>1215</v>
      </c>
      <c r="F39" s="127">
        <f>E39-D39</f>
        <v>-1500</v>
      </c>
    </row>
    <row r="40" spans="1:6" ht="31.5" customHeight="1">
      <c r="A40" s="128" t="s">
        <v>311</v>
      </c>
      <c r="B40" s="259" t="s">
        <v>312</v>
      </c>
      <c r="C40" s="259"/>
      <c r="D40" s="94">
        <f>SUM(D41)</f>
        <v>300</v>
      </c>
      <c r="E40" s="94">
        <f>SUM(E41)</f>
        <v>300</v>
      </c>
      <c r="F40" s="94">
        <f>SUM(F41)</f>
        <v>0</v>
      </c>
    </row>
    <row r="41" spans="1:6" ht="27" customHeight="1">
      <c r="A41" s="13" t="s">
        <v>314</v>
      </c>
      <c r="B41" s="259" t="s">
        <v>316</v>
      </c>
      <c r="C41" s="259"/>
      <c r="D41" s="126">
        <v>300</v>
      </c>
      <c r="E41" s="126">
        <v>300</v>
      </c>
      <c r="F41" s="126">
        <f>E41-D41</f>
        <v>0</v>
      </c>
    </row>
    <row r="42" spans="1:8" ht="32.25" customHeight="1">
      <c r="A42" s="128" t="s">
        <v>266</v>
      </c>
      <c r="B42" s="262" t="s">
        <v>634</v>
      </c>
      <c r="C42" s="262"/>
      <c r="D42" s="94">
        <f>D43</f>
        <v>291580.88323999994</v>
      </c>
      <c r="E42" s="94">
        <f>E43</f>
        <v>372073.12960000004</v>
      </c>
      <c r="F42" s="94">
        <f>F43</f>
        <v>63616.51136</v>
      </c>
      <c r="G42" s="66"/>
      <c r="H42" s="66"/>
    </row>
    <row r="43" spans="1:8" ht="33" customHeight="1">
      <c r="A43" s="58" t="s">
        <v>267</v>
      </c>
      <c r="B43" s="259" t="s">
        <v>635</v>
      </c>
      <c r="C43" s="259"/>
      <c r="D43" s="94">
        <f>D44+D48+D62+D96</f>
        <v>291580.88323999994</v>
      </c>
      <c r="E43" s="94">
        <f>E44+E48+E62+E96</f>
        <v>372073.12960000004</v>
      </c>
      <c r="F43" s="94">
        <f>F44+F48+F62+F96</f>
        <v>63616.51136</v>
      </c>
      <c r="G43" s="66"/>
      <c r="H43" s="66"/>
    </row>
    <row r="44" spans="1:7" ht="31.5" customHeight="1">
      <c r="A44" s="128" t="s">
        <v>616</v>
      </c>
      <c r="B44" s="262" t="s">
        <v>270</v>
      </c>
      <c r="C44" s="262"/>
      <c r="D44" s="94">
        <f>D46+D47</f>
        <v>0</v>
      </c>
      <c r="E44" s="94">
        <f>E46+E47</f>
        <v>56154.65</v>
      </c>
      <c r="F44" s="94">
        <f>E44-D44</f>
        <v>56154.65</v>
      </c>
      <c r="G44" s="66"/>
    </row>
    <row r="45" spans="1:6" ht="43.5" customHeight="1" hidden="1">
      <c r="A45" s="58" t="s">
        <v>437</v>
      </c>
      <c r="B45" s="259" t="s">
        <v>167</v>
      </c>
      <c r="C45" s="259"/>
      <c r="D45" s="126"/>
      <c r="E45" s="126"/>
      <c r="F45" s="126">
        <f>E45-D45</f>
        <v>0</v>
      </c>
    </row>
    <row r="46" spans="1:6" ht="108" customHeight="1" hidden="1">
      <c r="A46" s="58" t="s">
        <v>745</v>
      </c>
      <c r="B46" s="259" t="s">
        <v>746</v>
      </c>
      <c r="C46" s="264"/>
      <c r="D46" s="126">
        <v>0</v>
      </c>
      <c r="E46" s="126">
        <v>0</v>
      </c>
      <c r="F46" s="126">
        <f>E46-D46</f>
        <v>0</v>
      </c>
    </row>
    <row r="47" spans="1:8" ht="30" customHeight="1">
      <c r="A47" s="58" t="s">
        <v>528</v>
      </c>
      <c r="B47" s="259" t="s">
        <v>325</v>
      </c>
      <c r="C47" s="259"/>
      <c r="D47" s="126">
        <v>0</v>
      </c>
      <c r="E47" s="126">
        <f>8050.54+14233.52+23195+5456.3+5219.29</f>
        <v>56154.65</v>
      </c>
      <c r="F47" s="126">
        <f>E47-D47</f>
        <v>56154.65</v>
      </c>
      <c r="H47" s="66"/>
    </row>
    <row r="48" spans="1:7" ht="33" customHeight="1">
      <c r="A48" s="51" t="s">
        <v>438</v>
      </c>
      <c r="B48" s="260" t="s">
        <v>250</v>
      </c>
      <c r="C48" s="260"/>
      <c r="D48" s="94">
        <f>D49+D61</f>
        <v>0</v>
      </c>
      <c r="E48" s="94">
        <f>E49+E61</f>
        <v>8004.10391</v>
      </c>
      <c r="F48" s="94">
        <f>F49+F61</f>
        <v>7804.10391</v>
      </c>
      <c r="G48" s="66"/>
    </row>
    <row r="49" spans="1:7" ht="33" customHeight="1">
      <c r="A49" s="93" t="s">
        <v>617</v>
      </c>
      <c r="B49" s="265" t="s">
        <v>740</v>
      </c>
      <c r="C49" s="265"/>
      <c r="D49" s="109">
        <f>SUM(D50:D57)</f>
        <v>0</v>
      </c>
      <c r="E49" s="109">
        <f>SUM(E55:E60)</f>
        <v>6200.37391</v>
      </c>
      <c r="F49" s="109">
        <f>SUM(F50:F57)</f>
        <v>6000.37391</v>
      </c>
      <c r="G49" s="66"/>
    </row>
    <row r="50" spans="1:8" ht="74.25" customHeight="1" hidden="1">
      <c r="A50" s="13" t="s">
        <v>617</v>
      </c>
      <c r="B50" s="259" t="s">
        <v>618</v>
      </c>
      <c r="C50" s="259"/>
      <c r="D50" s="95">
        <v>0</v>
      </c>
      <c r="E50" s="95">
        <v>0</v>
      </c>
      <c r="F50" s="126">
        <f aca="true" t="shared" si="1" ref="F50:F61">E50-D50</f>
        <v>0</v>
      </c>
      <c r="G50" s="192"/>
      <c r="H50" s="193"/>
    </row>
    <row r="51" spans="1:8" ht="60" customHeight="1" hidden="1">
      <c r="A51" s="13" t="s">
        <v>617</v>
      </c>
      <c r="B51" s="266" t="s">
        <v>742</v>
      </c>
      <c r="C51" s="267"/>
      <c r="D51" s="95">
        <v>0</v>
      </c>
      <c r="E51" s="95">
        <v>0</v>
      </c>
      <c r="F51" s="126">
        <f t="shared" si="1"/>
        <v>0</v>
      </c>
      <c r="G51" s="192"/>
      <c r="H51" s="193"/>
    </row>
    <row r="52" spans="1:6" ht="72" customHeight="1" hidden="1">
      <c r="A52" s="13" t="s">
        <v>617</v>
      </c>
      <c r="B52" s="259" t="s">
        <v>741</v>
      </c>
      <c r="C52" s="259"/>
      <c r="D52" s="95">
        <v>0</v>
      </c>
      <c r="E52" s="95">
        <v>0</v>
      </c>
      <c r="F52" s="126">
        <f t="shared" si="1"/>
        <v>0</v>
      </c>
    </row>
    <row r="53" spans="1:6" ht="57" customHeight="1" hidden="1">
      <c r="A53" s="13" t="s">
        <v>617</v>
      </c>
      <c r="B53" s="259" t="s">
        <v>632</v>
      </c>
      <c r="C53" s="264"/>
      <c r="D53" s="95">
        <v>0</v>
      </c>
      <c r="E53" s="95">
        <v>0</v>
      </c>
      <c r="F53" s="126">
        <f t="shared" si="1"/>
        <v>0</v>
      </c>
    </row>
    <row r="54" spans="1:6" ht="57.75" customHeight="1" hidden="1">
      <c r="A54" s="13" t="s">
        <v>617</v>
      </c>
      <c r="B54" s="259" t="s">
        <v>648</v>
      </c>
      <c r="C54" s="264"/>
      <c r="D54" s="95">
        <v>0</v>
      </c>
      <c r="E54" s="95">
        <v>0</v>
      </c>
      <c r="F54" s="126">
        <f t="shared" si="1"/>
        <v>0</v>
      </c>
    </row>
    <row r="55" spans="1:7" ht="58.5" customHeight="1">
      <c r="A55" s="13" t="s">
        <v>617</v>
      </c>
      <c r="B55" s="259" t="s">
        <v>633</v>
      </c>
      <c r="C55" s="259"/>
      <c r="D55" s="95">
        <v>0</v>
      </c>
      <c r="E55" s="95">
        <v>226.44289</v>
      </c>
      <c r="F55" s="126">
        <f t="shared" si="1"/>
        <v>226.44289</v>
      </c>
      <c r="G55" s="209"/>
    </row>
    <row r="56" spans="1:7" ht="51" customHeight="1">
      <c r="A56" s="13" t="s">
        <v>617</v>
      </c>
      <c r="B56" s="259" t="s">
        <v>686</v>
      </c>
      <c r="C56" s="259"/>
      <c r="D56" s="95">
        <v>0</v>
      </c>
      <c r="E56" s="95">
        <f>1382.48629+1391.44473</f>
        <v>2773.93102</v>
      </c>
      <c r="F56" s="126">
        <f t="shared" si="1"/>
        <v>2773.93102</v>
      </c>
      <c r="G56" s="209"/>
    </row>
    <row r="57" spans="1:6" ht="66.75" customHeight="1">
      <c r="A57" s="13" t="s">
        <v>617</v>
      </c>
      <c r="B57" s="259" t="s">
        <v>743</v>
      </c>
      <c r="C57" s="259"/>
      <c r="D57" s="95">
        <v>0</v>
      </c>
      <c r="E57" s="95">
        <v>3000</v>
      </c>
      <c r="F57" s="126">
        <f t="shared" si="1"/>
        <v>3000</v>
      </c>
    </row>
    <row r="58" spans="1:6" ht="66.75" customHeight="1" hidden="1">
      <c r="A58" s="13" t="s">
        <v>853</v>
      </c>
      <c r="B58" s="259" t="s">
        <v>819</v>
      </c>
      <c r="C58" s="264"/>
      <c r="D58" s="95"/>
      <c r="E58" s="95">
        <v>0</v>
      </c>
      <c r="F58" s="126"/>
    </row>
    <row r="59" spans="1:6" ht="45.75" customHeight="1" hidden="1">
      <c r="A59" s="13" t="s">
        <v>854</v>
      </c>
      <c r="B59" s="259" t="s">
        <v>744</v>
      </c>
      <c r="C59" s="259"/>
      <c r="D59" s="95">
        <v>0</v>
      </c>
      <c r="E59" s="95">
        <v>0</v>
      </c>
      <c r="F59" s="126">
        <f t="shared" si="1"/>
        <v>0</v>
      </c>
    </row>
    <row r="60" spans="1:6" ht="45.75" customHeight="1">
      <c r="A60" s="13" t="s">
        <v>617</v>
      </c>
      <c r="B60" s="252" t="s">
        <v>855</v>
      </c>
      <c r="C60" s="253"/>
      <c r="D60" s="95"/>
      <c r="E60" s="95">
        <v>200</v>
      </c>
      <c r="F60" s="126"/>
    </row>
    <row r="61" spans="1:6" ht="60" customHeight="1">
      <c r="A61" s="93" t="s">
        <v>629</v>
      </c>
      <c r="B61" s="251" t="s">
        <v>798</v>
      </c>
      <c r="C61" s="251"/>
      <c r="D61" s="109">
        <v>0</v>
      </c>
      <c r="E61" s="109">
        <v>1803.73</v>
      </c>
      <c r="F61" s="126">
        <f t="shared" si="1"/>
        <v>1803.73</v>
      </c>
    </row>
    <row r="62" spans="1:8" ht="46.5" customHeight="1">
      <c r="A62" s="128" t="s">
        <v>527</v>
      </c>
      <c r="B62" s="262" t="s">
        <v>381</v>
      </c>
      <c r="C62" s="262"/>
      <c r="D62" s="94">
        <f>D64+D65+D66+D72+D92+D93+D68</f>
        <v>287319.28323999996</v>
      </c>
      <c r="E62" s="94">
        <f>SUM(E63:E69)+E72+E94</f>
        <v>286384.17710000003</v>
      </c>
      <c r="F62" s="94">
        <f>F64+F65+F66+F72+F92+F93+F68</f>
        <v>-17610.84114</v>
      </c>
      <c r="H62" s="66"/>
    </row>
    <row r="63" spans="1:8" ht="68.25" customHeight="1">
      <c r="A63" s="58" t="s">
        <v>622</v>
      </c>
      <c r="B63" s="259" t="s">
        <v>309</v>
      </c>
      <c r="C63" s="259"/>
      <c r="D63" s="95">
        <v>4647.323</v>
      </c>
      <c r="E63" s="95">
        <f>6035.259-2490.539</f>
        <v>3544.72</v>
      </c>
      <c r="F63" s="94"/>
      <c r="G63" s="240"/>
      <c r="H63" s="239"/>
    </row>
    <row r="64" spans="1:7" ht="51" customHeight="1">
      <c r="A64" s="58" t="s">
        <v>526</v>
      </c>
      <c r="B64" s="259" t="s">
        <v>703</v>
      </c>
      <c r="C64" s="259"/>
      <c r="D64" s="126">
        <v>1250</v>
      </c>
      <c r="E64" s="126">
        <f>1361.162+34.03</f>
        <v>1395.192</v>
      </c>
      <c r="F64" s="126">
        <f>E64-D64</f>
        <v>145.192</v>
      </c>
      <c r="G64" s="66"/>
    </row>
    <row r="65" spans="1:6" ht="42" customHeight="1">
      <c r="A65" s="58" t="s">
        <v>672</v>
      </c>
      <c r="B65" s="259" t="s">
        <v>762</v>
      </c>
      <c r="C65" s="264"/>
      <c r="D65" s="126">
        <v>520.869</v>
      </c>
      <c r="E65" s="126">
        <f>530.28251-287.705</f>
        <v>242.57751000000002</v>
      </c>
      <c r="F65" s="126">
        <f>E65-D65</f>
        <v>-278.29149</v>
      </c>
    </row>
    <row r="66" spans="1:6" ht="93" customHeight="1">
      <c r="A66" s="58" t="s">
        <v>529</v>
      </c>
      <c r="B66" s="259" t="s">
        <v>702</v>
      </c>
      <c r="C66" s="259"/>
      <c r="D66" s="95">
        <v>18.268</v>
      </c>
      <c r="E66" s="95">
        <f>26.012+0.0008</f>
        <v>26.012800000000002</v>
      </c>
      <c r="F66" s="126">
        <f>E66-D66</f>
        <v>7.7448000000000015</v>
      </c>
    </row>
    <row r="67" spans="1:6" ht="71.25" customHeight="1">
      <c r="A67" s="58" t="s">
        <v>749</v>
      </c>
      <c r="B67" s="259" t="s">
        <v>750</v>
      </c>
      <c r="C67" s="264"/>
      <c r="D67" s="95">
        <v>0</v>
      </c>
      <c r="E67" s="95">
        <f>18147.5-7270.9</f>
        <v>10876.6</v>
      </c>
      <c r="F67" s="126"/>
    </row>
    <row r="68" spans="1:6" ht="30.75" customHeight="1">
      <c r="A68" s="58" t="s">
        <v>799</v>
      </c>
      <c r="B68" s="259" t="s">
        <v>800</v>
      </c>
      <c r="C68" s="259"/>
      <c r="D68" s="95">
        <v>0</v>
      </c>
      <c r="E68" s="95">
        <v>307.152</v>
      </c>
      <c r="F68" s="126">
        <f>E68-D68</f>
        <v>307.152</v>
      </c>
    </row>
    <row r="69" spans="1:6" ht="33.75" customHeight="1">
      <c r="A69" s="93" t="s">
        <v>820</v>
      </c>
      <c r="B69" s="251" t="s">
        <v>821</v>
      </c>
      <c r="C69" s="251"/>
      <c r="D69" s="109">
        <f>D70+D71</f>
        <v>1897.594</v>
      </c>
      <c r="E69" s="109">
        <f>E70+E71</f>
        <v>1982.183</v>
      </c>
      <c r="F69" s="126"/>
    </row>
    <row r="70" spans="1:6" ht="65.25" customHeight="1">
      <c r="A70" s="58"/>
      <c r="B70" s="259" t="s">
        <v>423</v>
      </c>
      <c r="C70" s="259"/>
      <c r="D70" s="210">
        <v>740.504</v>
      </c>
      <c r="E70" s="126">
        <f>766.425+6.991</f>
        <v>773.4159999999999</v>
      </c>
      <c r="F70" s="126"/>
    </row>
    <row r="71" spans="1:6" ht="75" customHeight="1">
      <c r="A71" s="58"/>
      <c r="B71" s="259" t="s">
        <v>298</v>
      </c>
      <c r="C71" s="259"/>
      <c r="D71" s="210">
        <v>1157.09</v>
      </c>
      <c r="E71" s="126">
        <f>1197.791+10.976</f>
        <v>1208.767</v>
      </c>
      <c r="F71" s="126"/>
    </row>
    <row r="72" spans="1:8" ht="48.75" customHeight="1">
      <c r="A72" s="178" t="s">
        <v>530</v>
      </c>
      <c r="B72" s="268" t="s">
        <v>234</v>
      </c>
      <c r="C72" s="268"/>
      <c r="D72" s="179">
        <f>D73+D74+D75+D78+D79+D80+D82+D84+D85+D86+D87+D89+D90+D91</f>
        <v>280882.82324</v>
      </c>
      <c r="E72" s="179">
        <f>SUM(E73:E93)</f>
        <v>267737.50779</v>
      </c>
      <c r="F72" s="179">
        <f>F73+F74+F75+F78+F79+F80+F82+F84+F85+F86+F87+F89+F90+F91</f>
        <v>-13145.31545</v>
      </c>
      <c r="G72" s="66"/>
      <c r="H72" s="66"/>
    </row>
    <row r="73" spans="1:6" ht="76.5" customHeight="1">
      <c r="A73" s="58" t="s">
        <v>530</v>
      </c>
      <c r="B73" s="259" t="s">
        <v>418</v>
      </c>
      <c r="C73" s="259"/>
      <c r="D73" s="95">
        <f>156357.937</f>
        <v>156357.937</v>
      </c>
      <c r="E73" s="95">
        <f>161257.823-3185.1+11865.638</f>
        <v>169938.361</v>
      </c>
      <c r="F73" s="126">
        <f aca="true" t="shared" si="2" ref="F73:F91">E73-D73</f>
        <v>13580.423999999999</v>
      </c>
    </row>
    <row r="74" spans="1:6" ht="82.5" customHeight="1">
      <c r="A74" s="58" t="s">
        <v>530</v>
      </c>
      <c r="B74" s="259" t="s">
        <v>619</v>
      </c>
      <c r="C74" s="259"/>
      <c r="D74" s="95">
        <f>13848.602</f>
        <v>13848.602</v>
      </c>
      <c r="E74" s="95">
        <v>7270.9</v>
      </c>
      <c r="F74" s="126">
        <f t="shared" si="2"/>
        <v>-6577.702000000001</v>
      </c>
    </row>
    <row r="75" spans="1:6" ht="40.5" customHeight="1" hidden="1">
      <c r="A75" s="58" t="s">
        <v>820</v>
      </c>
      <c r="B75" s="259" t="s">
        <v>821</v>
      </c>
      <c r="C75" s="259"/>
      <c r="D75" s="237">
        <f>D76+D77</f>
        <v>1897.594</v>
      </c>
      <c r="E75" s="237">
        <f>E76+E77</f>
        <v>0</v>
      </c>
      <c r="F75" s="95">
        <f>F76+F77</f>
        <v>-1897.594</v>
      </c>
    </row>
    <row r="76" spans="1:6" ht="57" customHeight="1" hidden="1">
      <c r="A76" s="58" t="s">
        <v>530</v>
      </c>
      <c r="B76" s="259" t="s">
        <v>423</v>
      </c>
      <c r="C76" s="259"/>
      <c r="D76" s="210">
        <v>740.504</v>
      </c>
      <c r="E76" s="210">
        <v>0</v>
      </c>
      <c r="F76" s="126">
        <f>E76-D76</f>
        <v>-740.504</v>
      </c>
    </row>
    <row r="77" spans="1:6" ht="67.5" customHeight="1" hidden="1">
      <c r="A77" s="58" t="s">
        <v>530</v>
      </c>
      <c r="B77" s="259" t="s">
        <v>298</v>
      </c>
      <c r="C77" s="259"/>
      <c r="D77" s="210">
        <v>1157.09</v>
      </c>
      <c r="E77" s="210">
        <v>0</v>
      </c>
      <c r="F77" s="126">
        <f t="shared" si="2"/>
        <v>-1157.09</v>
      </c>
    </row>
    <row r="78" spans="1:6" ht="75.75" customHeight="1">
      <c r="A78" s="58" t="s">
        <v>530</v>
      </c>
      <c r="B78" s="259" t="s">
        <v>419</v>
      </c>
      <c r="C78" s="259"/>
      <c r="D78" s="95">
        <v>48045.528</v>
      </c>
      <c r="E78" s="95">
        <f>38428.372+1040.74</f>
        <v>39469.112</v>
      </c>
      <c r="F78" s="126">
        <f t="shared" si="2"/>
        <v>-8576.415999999997</v>
      </c>
    </row>
    <row r="79" spans="1:8" ht="72" customHeight="1">
      <c r="A79" s="58" t="s">
        <v>530</v>
      </c>
      <c r="B79" s="259" t="s">
        <v>705</v>
      </c>
      <c r="C79" s="259"/>
      <c r="D79" s="95">
        <f>3064.058</f>
        <v>3064.058</v>
      </c>
      <c r="E79" s="95">
        <f>896.82255+173.41688</f>
        <v>1070.23943</v>
      </c>
      <c r="F79" s="126">
        <f t="shared" si="2"/>
        <v>-1993.81857</v>
      </c>
      <c r="G79" s="238"/>
      <c r="H79" s="66"/>
    </row>
    <row r="80" spans="1:6" ht="57" customHeight="1">
      <c r="A80" s="58" t="s">
        <v>530</v>
      </c>
      <c r="B80" s="259" t="s">
        <v>422</v>
      </c>
      <c r="C80" s="259"/>
      <c r="D80" s="126">
        <v>768.474</v>
      </c>
      <c r="E80" s="126">
        <f>794.861+7.116</f>
        <v>801.977</v>
      </c>
      <c r="F80" s="126">
        <f t="shared" si="2"/>
        <v>33.50299999999993</v>
      </c>
    </row>
    <row r="81" spans="1:6" ht="66" customHeight="1" hidden="1">
      <c r="A81" s="58"/>
      <c r="B81" s="259"/>
      <c r="C81" s="259"/>
      <c r="D81" s="126"/>
      <c r="E81" s="126"/>
      <c r="F81" s="126"/>
    </row>
    <row r="82" spans="1:6" ht="60" customHeight="1">
      <c r="A82" s="58" t="s">
        <v>530</v>
      </c>
      <c r="B82" s="259" t="s">
        <v>299</v>
      </c>
      <c r="C82" s="259"/>
      <c r="D82" s="95">
        <v>11501.934</v>
      </c>
      <c r="E82" s="95">
        <v>11291.076</v>
      </c>
      <c r="F82" s="126">
        <f t="shared" si="2"/>
        <v>-210.85800000000017</v>
      </c>
    </row>
    <row r="83" spans="1:6" ht="64.5" customHeight="1" hidden="1">
      <c r="A83" s="58"/>
      <c r="B83" s="259"/>
      <c r="C83" s="259"/>
      <c r="D83" s="126"/>
      <c r="E83" s="126"/>
      <c r="F83" s="126">
        <f t="shared" si="2"/>
        <v>0</v>
      </c>
    </row>
    <row r="84" spans="1:6" ht="89.25" customHeight="1">
      <c r="A84" s="58" t="s">
        <v>530</v>
      </c>
      <c r="B84" s="259" t="s">
        <v>704</v>
      </c>
      <c r="C84" s="259"/>
      <c r="D84" s="95">
        <v>1.69524</v>
      </c>
      <c r="E84" s="95">
        <v>1.69524</v>
      </c>
      <c r="F84" s="126">
        <f t="shared" si="2"/>
        <v>0</v>
      </c>
    </row>
    <row r="85" spans="1:6" ht="75.75" customHeight="1">
      <c r="A85" s="58" t="s">
        <v>530</v>
      </c>
      <c r="B85" s="259" t="s">
        <v>685</v>
      </c>
      <c r="C85" s="259"/>
      <c r="D85" s="126">
        <v>316.235</v>
      </c>
      <c r="E85" s="126">
        <v>265.91093</v>
      </c>
      <c r="F85" s="126">
        <f t="shared" si="2"/>
        <v>-50.324070000000006</v>
      </c>
    </row>
    <row r="86" spans="1:6" ht="61.5" customHeight="1">
      <c r="A86" s="58" t="s">
        <v>620</v>
      </c>
      <c r="B86" s="259" t="s">
        <v>654</v>
      </c>
      <c r="C86" s="259"/>
      <c r="D86" s="126">
        <v>1804.088</v>
      </c>
      <c r="E86" s="126">
        <f>1865.848+16.655</f>
        <v>1882.503</v>
      </c>
      <c r="F86" s="126">
        <f t="shared" si="2"/>
        <v>78.41499999999996</v>
      </c>
    </row>
    <row r="87" spans="1:8" ht="84.75" customHeight="1">
      <c r="A87" s="58" t="s">
        <v>620</v>
      </c>
      <c r="B87" s="259" t="s">
        <v>645</v>
      </c>
      <c r="C87" s="264"/>
      <c r="D87" s="126">
        <v>18654.753</v>
      </c>
      <c r="E87" s="126">
        <f>14799.63122-1788.71266-1497.08925+700</f>
        <v>12213.829310000001</v>
      </c>
      <c r="F87" s="126">
        <f t="shared" si="2"/>
        <v>-6440.92369</v>
      </c>
      <c r="G87" s="238"/>
      <c r="H87" s="239"/>
    </row>
    <row r="88" spans="1:6" ht="71.25" customHeight="1" hidden="1">
      <c r="A88" s="58" t="s">
        <v>674</v>
      </c>
      <c r="B88" s="259" t="s">
        <v>673</v>
      </c>
      <c r="C88" s="264"/>
      <c r="D88" s="95">
        <v>0</v>
      </c>
      <c r="E88" s="95">
        <v>0</v>
      </c>
      <c r="F88" s="126">
        <f t="shared" si="2"/>
        <v>0</v>
      </c>
    </row>
    <row r="89" spans="1:8" ht="72.75" customHeight="1">
      <c r="A89" s="58" t="s">
        <v>620</v>
      </c>
      <c r="B89" s="259" t="s">
        <v>621</v>
      </c>
      <c r="C89" s="259"/>
      <c r="D89" s="95">
        <v>2375</v>
      </c>
      <c r="E89" s="95">
        <f>2160-955</f>
        <v>1205</v>
      </c>
      <c r="F89" s="126">
        <f t="shared" si="2"/>
        <v>-1170</v>
      </c>
      <c r="G89" s="241"/>
      <c r="H89" s="239"/>
    </row>
    <row r="90" spans="1:8" ht="57.75" customHeight="1">
      <c r="A90" s="58" t="s">
        <v>530</v>
      </c>
      <c r="B90" s="259" t="s">
        <v>536</v>
      </c>
      <c r="C90" s="259"/>
      <c r="D90" s="95">
        <f>22243.702</f>
        <v>22243.702</v>
      </c>
      <c r="E90" s="95">
        <f>21997.9968+325.52</f>
        <v>22323.5168</v>
      </c>
      <c r="F90" s="126">
        <f t="shared" si="2"/>
        <v>79.8148000000001</v>
      </c>
      <c r="G90" s="238"/>
      <c r="H90" s="239"/>
    </row>
    <row r="91" spans="1:6" ht="100.5" customHeight="1">
      <c r="A91" s="58" t="s">
        <v>530</v>
      </c>
      <c r="B91" s="259" t="s">
        <v>543</v>
      </c>
      <c r="C91" s="259"/>
      <c r="D91" s="95">
        <v>3.223</v>
      </c>
      <c r="E91" s="95">
        <v>3.38708</v>
      </c>
      <c r="F91" s="126">
        <f t="shared" si="2"/>
        <v>0.16408000000000023</v>
      </c>
    </row>
    <row r="92" spans="1:8" ht="157.5" customHeight="1" hidden="1">
      <c r="A92" s="58" t="s">
        <v>530</v>
      </c>
      <c r="B92" s="259" t="s">
        <v>880</v>
      </c>
      <c r="C92" s="259"/>
      <c r="D92" s="95">
        <v>4647.323</v>
      </c>
      <c r="E92" s="95">
        <f>89.342-89.342</f>
        <v>0</v>
      </c>
      <c r="F92" s="126">
        <f>E92-D92</f>
        <v>-4647.323</v>
      </c>
      <c r="G92" s="242"/>
      <c r="H92" s="243"/>
    </row>
    <row r="93" spans="1:6" ht="78.75" customHeight="1" hidden="1">
      <c r="A93" s="58" t="s">
        <v>865</v>
      </c>
      <c r="B93" s="259" t="s">
        <v>750</v>
      </c>
      <c r="C93" s="264"/>
      <c r="D93" s="95">
        <v>0</v>
      </c>
      <c r="E93" s="95">
        <v>0</v>
      </c>
      <c r="F93" s="126">
        <f>E93-D93</f>
        <v>0</v>
      </c>
    </row>
    <row r="94" spans="1:6" ht="26.25" customHeight="1">
      <c r="A94" s="93" t="s">
        <v>868</v>
      </c>
      <c r="B94" s="251" t="s">
        <v>869</v>
      </c>
      <c r="C94" s="251"/>
      <c r="D94" s="95"/>
      <c r="E94" s="109">
        <f>E95</f>
        <v>272.232</v>
      </c>
      <c r="F94" s="126"/>
    </row>
    <row r="95" spans="1:6" ht="66.75" customHeight="1">
      <c r="A95" s="58" t="s">
        <v>868</v>
      </c>
      <c r="B95" s="252" t="s">
        <v>866</v>
      </c>
      <c r="C95" s="253"/>
      <c r="D95" s="95"/>
      <c r="E95" s="95">
        <v>272.232</v>
      </c>
      <c r="F95" s="126"/>
    </row>
    <row r="96" spans="1:8" ht="18.75" customHeight="1">
      <c r="A96" s="128" t="s">
        <v>623</v>
      </c>
      <c r="B96" s="262" t="s">
        <v>636</v>
      </c>
      <c r="C96" s="262"/>
      <c r="D96" s="94">
        <f>D97+D98+D99</f>
        <v>4261.6</v>
      </c>
      <c r="E96" s="94">
        <f>E97+E98+E99</f>
        <v>21530.19859</v>
      </c>
      <c r="F96" s="94">
        <f>F97+F98+F99</f>
        <v>17268.59859</v>
      </c>
      <c r="H96" s="239"/>
    </row>
    <row r="97" spans="1:8" ht="83.25" customHeight="1" hidden="1">
      <c r="A97" s="13" t="s">
        <v>713</v>
      </c>
      <c r="B97" s="259" t="s">
        <v>714</v>
      </c>
      <c r="C97" s="264"/>
      <c r="D97" s="95">
        <v>0</v>
      </c>
      <c r="E97" s="95">
        <v>0</v>
      </c>
      <c r="F97" s="126">
        <f>E97-D97</f>
        <v>0</v>
      </c>
      <c r="H97" s="238"/>
    </row>
    <row r="98" spans="1:8" ht="75.75" customHeight="1">
      <c r="A98" s="13" t="s">
        <v>748</v>
      </c>
      <c r="B98" s="259" t="s">
        <v>751</v>
      </c>
      <c r="C98" s="264"/>
      <c r="D98" s="95">
        <v>0</v>
      </c>
      <c r="E98" s="95">
        <f>12051+4563</f>
        <v>16614</v>
      </c>
      <c r="F98" s="126">
        <f>E98-D98</f>
        <v>16614</v>
      </c>
      <c r="H98" s="238"/>
    </row>
    <row r="99" spans="1:8" ht="73.5" customHeight="1">
      <c r="A99" s="13" t="s">
        <v>624</v>
      </c>
      <c r="B99" s="270" t="s">
        <v>467</v>
      </c>
      <c r="C99" s="270"/>
      <c r="D99" s="95">
        <f>4261.6</f>
        <v>4261.6</v>
      </c>
      <c r="E99" s="95">
        <f>4679.454+288.5+123.1-223.2444+48.38899</f>
        <v>4916.198590000001</v>
      </c>
      <c r="F99" s="126">
        <f>E99-D99</f>
        <v>654.5985900000005</v>
      </c>
      <c r="H99" s="239"/>
    </row>
    <row r="100" spans="1:6" ht="15" customHeight="1" hidden="1">
      <c r="A100" s="13" t="s">
        <v>444</v>
      </c>
      <c r="B100" s="270" t="s">
        <v>324</v>
      </c>
      <c r="C100" s="270"/>
      <c r="D100" s="126"/>
      <c r="E100" s="126"/>
      <c r="F100" s="126"/>
    </row>
    <row r="101" spans="1:6" ht="15" customHeight="1" hidden="1">
      <c r="A101" s="13" t="s">
        <v>445</v>
      </c>
      <c r="B101" s="259" t="s">
        <v>352</v>
      </c>
      <c r="C101" s="259"/>
      <c r="D101" s="126"/>
      <c r="E101" s="126"/>
      <c r="F101" s="126"/>
    </row>
    <row r="102" spans="1:6" ht="15" customHeight="1" hidden="1">
      <c r="A102" s="13" t="s">
        <v>446</v>
      </c>
      <c r="B102" s="259" t="s">
        <v>307</v>
      </c>
      <c r="C102" s="259"/>
      <c r="D102" s="126"/>
      <c r="E102" s="126"/>
      <c r="F102" s="126"/>
    </row>
    <row r="103" spans="1:8" ht="13.5">
      <c r="A103" s="58"/>
      <c r="B103" s="269" t="s">
        <v>287</v>
      </c>
      <c r="C103" s="269"/>
      <c r="D103" s="94">
        <f>D10+D42</f>
        <v>503216.88323999994</v>
      </c>
      <c r="E103" s="94">
        <f>E10+E42</f>
        <v>612438.2296000001</v>
      </c>
      <c r="F103" s="94">
        <f>F10+F42</f>
        <v>91714.61136</v>
      </c>
      <c r="G103" s="66"/>
      <c r="H103" s="239"/>
    </row>
    <row r="104" spans="3:5" ht="12.75">
      <c r="C104" s="195"/>
      <c r="E104" s="131"/>
    </row>
    <row r="105" spans="3:7" ht="12.75">
      <c r="C105" s="195"/>
      <c r="D105" s="131"/>
      <c r="E105" s="131"/>
      <c r="F105" s="131"/>
      <c r="G105" s="193"/>
    </row>
    <row r="106" spans="3:7" ht="12.75">
      <c r="C106" s="195"/>
      <c r="D106" s="131"/>
      <c r="E106" s="131"/>
      <c r="G106" s="66"/>
    </row>
    <row r="107" ht="12.75">
      <c r="E107" s="131"/>
    </row>
  </sheetData>
  <sheetProtection/>
  <mergeCells count="107">
    <mergeCell ref="B102:C102"/>
    <mergeCell ref="B103:C103"/>
    <mergeCell ref="B96:C96"/>
    <mergeCell ref="B97:C97"/>
    <mergeCell ref="B98:C98"/>
    <mergeCell ref="B99:C99"/>
    <mergeCell ref="B100:C100"/>
    <mergeCell ref="B101:C101"/>
    <mergeCell ref="B88:C88"/>
    <mergeCell ref="B89:C89"/>
    <mergeCell ref="B90:C90"/>
    <mergeCell ref="B91:C91"/>
    <mergeCell ref="B92:C92"/>
    <mergeCell ref="B93:C93"/>
    <mergeCell ref="B82:C82"/>
    <mergeCell ref="B83:C83"/>
    <mergeCell ref="B84:C84"/>
    <mergeCell ref="B85:C85"/>
    <mergeCell ref="B86:C86"/>
    <mergeCell ref="B87:C87"/>
    <mergeCell ref="B76:C76"/>
    <mergeCell ref="B77:C77"/>
    <mergeCell ref="B78:C78"/>
    <mergeCell ref="B79:C79"/>
    <mergeCell ref="B80:C80"/>
    <mergeCell ref="B81:C81"/>
    <mergeCell ref="B66:C66"/>
    <mergeCell ref="B68:C68"/>
    <mergeCell ref="B72:C72"/>
    <mergeCell ref="B73:C73"/>
    <mergeCell ref="B74:C74"/>
    <mergeCell ref="B75:C75"/>
    <mergeCell ref="B69:C69"/>
    <mergeCell ref="B70:C70"/>
    <mergeCell ref="B71:C71"/>
    <mergeCell ref="B67:C67"/>
    <mergeCell ref="B61:C61"/>
    <mergeCell ref="B62:C62"/>
    <mergeCell ref="B64:C64"/>
    <mergeCell ref="B65:C65"/>
    <mergeCell ref="B58:C58"/>
    <mergeCell ref="B63:C63"/>
    <mergeCell ref="B60:C60"/>
    <mergeCell ref="B53:C53"/>
    <mergeCell ref="B54:C54"/>
    <mergeCell ref="B55:C55"/>
    <mergeCell ref="B56:C56"/>
    <mergeCell ref="B57:C57"/>
    <mergeCell ref="B59:C59"/>
    <mergeCell ref="B47:C47"/>
    <mergeCell ref="B48:C48"/>
    <mergeCell ref="B49:C49"/>
    <mergeCell ref="B50:C50"/>
    <mergeCell ref="B51:C51"/>
    <mergeCell ref="B52:C52"/>
    <mergeCell ref="B41:C41"/>
    <mergeCell ref="B42:C42"/>
    <mergeCell ref="B43:C43"/>
    <mergeCell ref="B44:C44"/>
    <mergeCell ref="B45:C45"/>
    <mergeCell ref="B46:C46"/>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7:C17"/>
    <mergeCell ref="B18:C18"/>
    <mergeCell ref="B19:C19"/>
    <mergeCell ref="B20:C20"/>
    <mergeCell ref="B21:C21"/>
    <mergeCell ref="B22:C22"/>
    <mergeCell ref="B11:C11"/>
    <mergeCell ref="B12:C12"/>
    <mergeCell ref="B13:C13"/>
    <mergeCell ref="B14:C14"/>
    <mergeCell ref="B15:C15"/>
    <mergeCell ref="B16:C16"/>
    <mergeCell ref="A8:A9"/>
    <mergeCell ref="B8:C9"/>
    <mergeCell ref="D8:D9"/>
    <mergeCell ref="E8:E9"/>
    <mergeCell ref="F8:F9"/>
    <mergeCell ref="B10:C10"/>
    <mergeCell ref="B94:C94"/>
    <mergeCell ref="B95:C95"/>
    <mergeCell ref="C1:E1"/>
    <mergeCell ref="C2:E2"/>
    <mergeCell ref="C3:E3"/>
    <mergeCell ref="H3:I3"/>
    <mergeCell ref="C4:E4"/>
    <mergeCell ref="H5:I5"/>
    <mergeCell ref="A6:E6"/>
    <mergeCell ref="B7:C7"/>
  </mergeCells>
  <printOptions/>
  <pageMargins left="0.7086614173228347" right="0.7086614173228347" top="0.35433070866141736" bottom="0.35433070866141736" header="0.31496062992125984" footer="0.31496062992125984"/>
  <pageSetup fitToHeight="0"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rgb="FFFF0000"/>
  </sheetPr>
  <dimension ref="A1:L671"/>
  <sheetViews>
    <sheetView view="pageBreakPreview" zoomScale="84" zoomScaleSheetLayoutView="84" workbookViewId="0" topLeftCell="A651">
      <selection activeCell="D666" sqref="D666:H672"/>
    </sheetView>
  </sheetViews>
  <sheetFormatPr defaultColWidth="8.625" defaultRowHeight="12.75"/>
  <cols>
    <col min="1" max="1" width="46.00390625" style="281" customWidth="1"/>
    <col min="2" max="2" width="4.625" style="29" customWidth="1"/>
    <col min="3" max="3" width="5.50390625" style="29" customWidth="1"/>
    <col min="4" max="4" width="14.625" style="29" customWidth="1"/>
    <col min="5" max="5" width="5.50390625" style="29" customWidth="1"/>
    <col min="6" max="6" width="16.00390625" style="145" customWidth="1"/>
    <col min="7" max="7" width="18.625" style="145" customWidth="1"/>
    <col min="8" max="8" width="16.50390625" style="145" customWidth="1"/>
    <col min="9" max="9" width="16.375" style="145" bestFit="1" customWidth="1"/>
    <col min="10" max="10" width="16.375" style="145" customWidth="1"/>
    <col min="11" max="12" width="12.50390625" style="145" bestFit="1" customWidth="1"/>
    <col min="13" max="16384" width="8.625" style="145" customWidth="1"/>
  </cols>
  <sheetData>
    <row r="1" spans="1:8" ht="15">
      <c r="A1" s="10"/>
      <c r="B1" s="10"/>
      <c r="C1" s="10"/>
      <c r="D1" s="10"/>
      <c r="F1" s="247" t="s">
        <v>498</v>
      </c>
      <c r="G1" s="247"/>
      <c r="H1" s="247"/>
    </row>
    <row r="2" spans="6:8" ht="15">
      <c r="F2" s="247" t="s">
        <v>387</v>
      </c>
      <c r="G2" s="247"/>
      <c r="H2" s="247"/>
    </row>
    <row r="3" spans="6:8" ht="15">
      <c r="F3" s="247" t="s">
        <v>388</v>
      </c>
      <c r="G3" s="247"/>
      <c r="H3" s="247"/>
    </row>
    <row r="4" spans="6:8" ht="15.75" customHeight="1">
      <c r="F4" s="282" t="s">
        <v>948</v>
      </c>
      <c r="G4" s="247"/>
      <c r="H4" s="247"/>
    </row>
    <row r="5" ht="4.5" customHeight="1"/>
    <row r="6" spans="1:8" ht="15">
      <c r="A6" s="271" t="s">
        <v>389</v>
      </c>
      <c r="B6" s="271"/>
      <c r="C6" s="271"/>
      <c r="D6" s="271"/>
      <c r="E6" s="271"/>
      <c r="F6" s="271"/>
      <c r="G6" s="271"/>
      <c r="H6" s="271"/>
    </row>
    <row r="7" spans="1:8" ht="16.5" customHeight="1">
      <c r="A7" s="271" t="s">
        <v>794</v>
      </c>
      <c r="B7" s="271"/>
      <c r="C7" s="271"/>
      <c r="D7" s="271"/>
      <c r="E7" s="271"/>
      <c r="F7" s="271"/>
      <c r="G7" s="271"/>
      <c r="H7" s="271"/>
    </row>
    <row r="8" spans="1:8" ht="15.75" customHeight="1">
      <c r="A8" s="271" t="s">
        <v>129</v>
      </c>
      <c r="B8" s="271"/>
      <c r="C8" s="271"/>
      <c r="D8" s="271"/>
      <c r="E8" s="271"/>
      <c r="F8" s="271"/>
      <c r="G8" s="271"/>
      <c r="H8" s="271"/>
    </row>
    <row r="9" spans="1:8" ht="15.75" customHeight="1">
      <c r="A9" s="8"/>
      <c r="B9" s="8"/>
      <c r="C9" s="146"/>
      <c r="D9" s="146"/>
      <c r="E9" s="146"/>
      <c r="F9" s="146"/>
      <c r="G9" s="146"/>
      <c r="H9" s="144" t="s">
        <v>353</v>
      </c>
    </row>
    <row r="10" spans="1:8" ht="12" customHeight="1">
      <c r="A10" s="283" t="s">
        <v>329</v>
      </c>
      <c r="B10" s="283" t="s">
        <v>136</v>
      </c>
      <c r="C10" s="283" t="s">
        <v>137</v>
      </c>
      <c r="D10" s="283" t="s">
        <v>331</v>
      </c>
      <c r="E10" s="283" t="s">
        <v>138</v>
      </c>
      <c r="F10" s="249" t="s">
        <v>523</v>
      </c>
      <c r="G10" s="249" t="s">
        <v>333</v>
      </c>
      <c r="H10" s="249"/>
    </row>
    <row r="11" spans="1:8" ht="52.5" customHeight="1">
      <c r="A11" s="283"/>
      <c r="B11" s="283"/>
      <c r="C11" s="283"/>
      <c r="D11" s="283"/>
      <c r="E11" s="283"/>
      <c r="F11" s="249"/>
      <c r="G11" s="30" t="s">
        <v>128</v>
      </c>
      <c r="H11" s="30" t="s">
        <v>229</v>
      </c>
    </row>
    <row r="12" spans="1:8" s="159" customFormat="1" ht="12" customHeight="1">
      <c r="A12" s="23">
        <v>1</v>
      </c>
      <c r="B12" s="23">
        <v>2</v>
      </c>
      <c r="C12" s="23">
        <v>3</v>
      </c>
      <c r="D12" s="23">
        <v>4</v>
      </c>
      <c r="E12" s="23">
        <v>5</v>
      </c>
      <c r="F12" s="30">
        <v>6</v>
      </c>
      <c r="G12" s="30">
        <v>7</v>
      </c>
      <c r="H12" s="147">
        <v>8</v>
      </c>
    </row>
    <row r="13" spans="1:12" ht="18.75" customHeight="1">
      <c r="A13" s="62" t="s">
        <v>139</v>
      </c>
      <c r="B13" s="20" t="s">
        <v>140</v>
      </c>
      <c r="C13" s="20" t="s">
        <v>141</v>
      </c>
      <c r="D13" s="20" t="s">
        <v>304</v>
      </c>
      <c r="E13" s="20" t="s">
        <v>391</v>
      </c>
      <c r="F13" s="115">
        <f>G13+H13</f>
        <v>42324.85996</v>
      </c>
      <c r="G13" s="115">
        <f>G14+G20+G35+G48+G66+G70+G76+G82+G45</f>
        <v>36681.51436</v>
      </c>
      <c r="H13" s="115">
        <f>H14+H20+H35+H48+H66+H82+H45</f>
        <v>5643.3456000000015</v>
      </c>
      <c r="K13" s="153"/>
      <c r="L13" s="153"/>
    </row>
    <row r="14" spans="1:8" ht="47.25" customHeight="1">
      <c r="A14" s="27" t="s">
        <v>337</v>
      </c>
      <c r="B14" s="14" t="s">
        <v>140</v>
      </c>
      <c r="C14" s="14" t="s">
        <v>142</v>
      </c>
      <c r="D14" s="14" t="s">
        <v>304</v>
      </c>
      <c r="E14" s="14" t="s">
        <v>391</v>
      </c>
      <c r="F14" s="64">
        <f>G14+H14</f>
        <v>1951.31</v>
      </c>
      <c r="G14" s="64">
        <f aca="true" t="shared" si="0" ref="G14:H17">G15</f>
        <v>1951.31</v>
      </c>
      <c r="H14" s="64">
        <f t="shared" si="0"/>
        <v>0</v>
      </c>
    </row>
    <row r="15" spans="1:8" ht="33" customHeight="1">
      <c r="A15" s="27" t="s">
        <v>143</v>
      </c>
      <c r="B15" s="14" t="s">
        <v>140</v>
      </c>
      <c r="C15" s="14" t="s">
        <v>142</v>
      </c>
      <c r="D15" s="14" t="s">
        <v>8</v>
      </c>
      <c r="E15" s="14" t="s">
        <v>391</v>
      </c>
      <c r="F15" s="64">
        <f aca="true" t="shared" si="1" ref="F15:F36">G15+H15</f>
        <v>1951.31</v>
      </c>
      <c r="G15" s="64">
        <f t="shared" si="0"/>
        <v>1951.31</v>
      </c>
      <c r="H15" s="64">
        <f t="shared" si="0"/>
        <v>0</v>
      </c>
    </row>
    <row r="16" spans="1:8" ht="48" customHeight="1">
      <c r="A16" s="27" t="s">
        <v>144</v>
      </c>
      <c r="B16" s="14" t="s">
        <v>140</v>
      </c>
      <c r="C16" s="14" t="s">
        <v>142</v>
      </c>
      <c r="D16" s="14" t="s">
        <v>9</v>
      </c>
      <c r="E16" s="14" t="s">
        <v>391</v>
      </c>
      <c r="F16" s="64">
        <f t="shared" si="1"/>
        <v>1951.31</v>
      </c>
      <c r="G16" s="64">
        <f t="shared" si="0"/>
        <v>1951.31</v>
      </c>
      <c r="H16" s="64">
        <f t="shared" si="0"/>
        <v>0</v>
      </c>
    </row>
    <row r="17" spans="1:8" s="148" customFormat="1" ht="16.5" customHeight="1">
      <c r="A17" s="31" t="s">
        <v>396</v>
      </c>
      <c r="B17" s="28" t="s">
        <v>140</v>
      </c>
      <c r="C17" s="28" t="s">
        <v>142</v>
      </c>
      <c r="D17" s="28" t="s">
        <v>10</v>
      </c>
      <c r="E17" s="28" t="s">
        <v>391</v>
      </c>
      <c r="F17" s="65">
        <f t="shared" si="1"/>
        <v>1951.31</v>
      </c>
      <c r="G17" s="65">
        <f>G18</f>
        <v>1951.31</v>
      </c>
      <c r="H17" s="65">
        <f t="shared" si="0"/>
        <v>0</v>
      </c>
    </row>
    <row r="18" spans="1:8" ht="95.25" customHeight="1">
      <c r="A18" s="27" t="s">
        <v>177</v>
      </c>
      <c r="B18" s="14" t="s">
        <v>140</v>
      </c>
      <c r="C18" s="14" t="s">
        <v>142</v>
      </c>
      <c r="D18" s="14" t="s">
        <v>10</v>
      </c>
      <c r="E18" s="14" t="s">
        <v>145</v>
      </c>
      <c r="F18" s="64">
        <f t="shared" si="1"/>
        <v>1951.31</v>
      </c>
      <c r="G18" s="64">
        <f>G19</f>
        <v>1951.31</v>
      </c>
      <c r="H18" s="64"/>
    </row>
    <row r="19" spans="1:8" ht="33.75" customHeight="1">
      <c r="A19" s="27" t="s">
        <v>179</v>
      </c>
      <c r="B19" s="14" t="s">
        <v>140</v>
      </c>
      <c r="C19" s="14" t="s">
        <v>142</v>
      </c>
      <c r="D19" s="14" t="s">
        <v>10</v>
      </c>
      <c r="E19" s="14" t="s">
        <v>178</v>
      </c>
      <c r="F19" s="64">
        <f>G19+H19</f>
        <v>1951.31</v>
      </c>
      <c r="G19" s="64">
        <f>1836.31+90+25</f>
        <v>1951.31</v>
      </c>
      <c r="H19" s="64"/>
    </row>
    <row r="20" spans="1:10" ht="65.25" customHeight="1">
      <c r="A20" s="27" t="s">
        <v>146</v>
      </c>
      <c r="B20" s="14" t="s">
        <v>140</v>
      </c>
      <c r="C20" s="14" t="s">
        <v>147</v>
      </c>
      <c r="D20" s="14" t="s">
        <v>304</v>
      </c>
      <c r="E20" s="14" t="s">
        <v>391</v>
      </c>
      <c r="F20" s="64">
        <f t="shared" si="1"/>
        <v>3647.8</v>
      </c>
      <c r="G20" s="64">
        <f>G21</f>
        <v>3647.8</v>
      </c>
      <c r="H20" s="64">
        <f>H21</f>
        <v>0</v>
      </c>
      <c r="J20" s="153"/>
    </row>
    <row r="21" spans="1:8" ht="33" customHeight="1">
      <c r="A21" s="27" t="s">
        <v>143</v>
      </c>
      <c r="B21" s="14" t="s">
        <v>140</v>
      </c>
      <c r="C21" s="14" t="s">
        <v>147</v>
      </c>
      <c r="D21" s="14" t="s">
        <v>8</v>
      </c>
      <c r="E21" s="14" t="s">
        <v>391</v>
      </c>
      <c r="F21" s="64">
        <f t="shared" si="1"/>
        <v>3647.8</v>
      </c>
      <c r="G21" s="64">
        <f>G22</f>
        <v>3647.8</v>
      </c>
      <c r="H21" s="64">
        <f>H22</f>
        <v>0</v>
      </c>
    </row>
    <row r="22" spans="1:8" ht="47.25" customHeight="1">
      <c r="A22" s="27" t="s">
        <v>144</v>
      </c>
      <c r="B22" s="14" t="s">
        <v>140</v>
      </c>
      <c r="C22" s="14" t="s">
        <v>147</v>
      </c>
      <c r="D22" s="14" t="s">
        <v>9</v>
      </c>
      <c r="E22" s="14" t="s">
        <v>391</v>
      </c>
      <c r="F22" s="64">
        <f t="shared" si="1"/>
        <v>3647.8</v>
      </c>
      <c r="G22" s="64">
        <f>G28+G23</f>
        <v>3647.8</v>
      </c>
      <c r="H22" s="64">
        <f>H28+H23</f>
        <v>0</v>
      </c>
    </row>
    <row r="23" spans="1:8" s="148" customFormat="1" ht="33.75" customHeight="1">
      <c r="A23" s="31" t="s">
        <v>172</v>
      </c>
      <c r="B23" s="28" t="s">
        <v>140</v>
      </c>
      <c r="C23" s="28" t="s">
        <v>147</v>
      </c>
      <c r="D23" s="28" t="s">
        <v>11</v>
      </c>
      <c r="E23" s="28" t="s">
        <v>391</v>
      </c>
      <c r="F23" s="65">
        <f t="shared" si="1"/>
        <v>1667</v>
      </c>
      <c r="G23" s="65">
        <f>G24+G26</f>
        <v>1667</v>
      </c>
      <c r="H23" s="65"/>
    </row>
    <row r="24" spans="1:8" ht="98.25" customHeight="1">
      <c r="A24" s="27" t="s">
        <v>177</v>
      </c>
      <c r="B24" s="14" t="s">
        <v>140</v>
      </c>
      <c r="C24" s="14" t="s">
        <v>147</v>
      </c>
      <c r="D24" s="14" t="s">
        <v>11</v>
      </c>
      <c r="E24" s="14" t="s">
        <v>145</v>
      </c>
      <c r="F24" s="64">
        <f t="shared" si="1"/>
        <v>1667</v>
      </c>
      <c r="G24" s="64">
        <f>G25</f>
        <v>1667</v>
      </c>
      <c r="H24" s="64"/>
    </row>
    <row r="25" spans="1:8" ht="35.25" customHeight="1">
      <c r="A25" s="27" t="s">
        <v>179</v>
      </c>
      <c r="B25" s="14" t="s">
        <v>140</v>
      </c>
      <c r="C25" s="14" t="s">
        <v>147</v>
      </c>
      <c r="D25" s="14" t="s">
        <v>11</v>
      </c>
      <c r="E25" s="14" t="s">
        <v>178</v>
      </c>
      <c r="F25" s="64">
        <f t="shared" si="1"/>
        <v>1667</v>
      </c>
      <c r="G25" s="132">
        <f>1668+10-3.6-7.4</f>
        <v>1667</v>
      </c>
      <c r="H25" s="64"/>
    </row>
    <row r="26" spans="1:8" ht="35.25" customHeight="1" hidden="1">
      <c r="A26" s="27" t="s">
        <v>180</v>
      </c>
      <c r="B26" s="14" t="s">
        <v>140</v>
      </c>
      <c r="C26" s="14" t="s">
        <v>147</v>
      </c>
      <c r="D26" s="14" t="s">
        <v>11</v>
      </c>
      <c r="E26" s="14" t="s">
        <v>149</v>
      </c>
      <c r="F26" s="64">
        <f>G26+H26</f>
        <v>0</v>
      </c>
      <c r="G26" s="64">
        <f>G27</f>
        <v>0</v>
      </c>
      <c r="H26" s="64">
        <f>H27</f>
        <v>0</v>
      </c>
    </row>
    <row r="27" spans="1:8" ht="48" customHeight="1" hidden="1">
      <c r="A27" s="27" t="s">
        <v>181</v>
      </c>
      <c r="B27" s="14" t="s">
        <v>140</v>
      </c>
      <c r="C27" s="14" t="s">
        <v>147</v>
      </c>
      <c r="D27" s="14" t="s">
        <v>11</v>
      </c>
      <c r="E27" s="14" t="s">
        <v>182</v>
      </c>
      <c r="F27" s="64">
        <f>G27+H27</f>
        <v>0</v>
      </c>
      <c r="G27" s="64">
        <f>15-15</f>
        <v>0</v>
      </c>
      <c r="H27" s="64"/>
    </row>
    <row r="28" spans="1:9" s="148" customFormat="1" ht="48.75" customHeight="1">
      <c r="A28" s="31" t="s">
        <v>148</v>
      </c>
      <c r="B28" s="28" t="s">
        <v>140</v>
      </c>
      <c r="C28" s="28" t="s">
        <v>147</v>
      </c>
      <c r="D28" s="28" t="s">
        <v>12</v>
      </c>
      <c r="E28" s="28" t="s">
        <v>391</v>
      </c>
      <c r="F28" s="65">
        <f t="shared" si="1"/>
        <v>1980.8000000000002</v>
      </c>
      <c r="G28" s="65">
        <f>G29+G31+G33</f>
        <v>1980.8000000000002</v>
      </c>
      <c r="H28" s="65">
        <f>SUM(H29:H32)</f>
        <v>0</v>
      </c>
      <c r="I28" s="182"/>
    </row>
    <row r="29" spans="1:8" ht="94.5" customHeight="1">
      <c r="A29" s="27" t="s">
        <v>177</v>
      </c>
      <c r="B29" s="14" t="s">
        <v>140</v>
      </c>
      <c r="C29" s="14" t="s">
        <v>147</v>
      </c>
      <c r="D29" s="14" t="s">
        <v>12</v>
      </c>
      <c r="E29" s="14" t="s">
        <v>145</v>
      </c>
      <c r="F29" s="64">
        <f t="shared" si="1"/>
        <v>1159.987</v>
      </c>
      <c r="G29" s="64">
        <f>G30</f>
        <v>1159.987</v>
      </c>
      <c r="H29" s="64"/>
    </row>
    <row r="30" spans="1:8" ht="35.25" customHeight="1">
      <c r="A30" s="27" t="s">
        <v>179</v>
      </c>
      <c r="B30" s="14" t="s">
        <v>140</v>
      </c>
      <c r="C30" s="14" t="s">
        <v>147</v>
      </c>
      <c r="D30" s="14" t="s">
        <v>12</v>
      </c>
      <c r="E30" s="14" t="s">
        <v>178</v>
      </c>
      <c r="F30" s="64">
        <f t="shared" si="1"/>
        <v>1159.987</v>
      </c>
      <c r="G30" s="64">
        <f>1820.9-197.166-238.432-64.615-90-15-30-8.9-16.8</f>
        <v>1159.987</v>
      </c>
      <c r="H30" s="64"/>
    </row>
    <row r="31" spans="1:8" ht="33" customHeight="1">
      <c r="A31" s="27" t="s">
        <v>180</v>
      </c>
      <c r="B31" s="14" t="s">
        <v>140</v>
      </c>
      <c r="C31" s="14" t="s">
        <v>147</v>
      </c>
      <c r="D31" s="14" t="s">
        <v>12</v>
      </c>
      <c r="E31" s="14" t="s">
        <v>149</v>
      </c>
      <c r="F31" s="64">
        <f t="shared" si="1"/>
        <v>820.8130000000001</v>
      </c>
      <c r="G31" s="64">
        <f>G32</f>
        <v>820.8130000000001</v>
      </c>
      <c r="H31" s="64"/>
    </row>
    <row r="32" spans="1:8" ht="50.25" customHeight="1">
      <c r="A32" s="27" t="s">
        <v>181</v>
      </c>
      <c r="B32" s="14" t="s">
        <v>140</v>
      </c>
      <c r="C32" s="14" t="s">
        <v>147</v>
      </c>
      <c r="D32" s="14" t="s">
        <v>12</v>
      </c>
      <c r="E32" s="14" t="s">
        <v>182</v>
      </c>
      <c r="F32" s="64">
        <f t="shared" si="1"/>
        <v>820.8130000000001</v>
      </c>
      <c r="G32" s="64">
        <f>2164.8-1820.9-5+197.166+238.432+64.615-10-77+21+6+41.7</f>
        <v>820.8130000000001</v>
      </c>
      <c r="H32" s="64"/>
    </row>
    <row r="33" spans="1:8" ht="19.5" customHeight="1" hidden="1">
      <c r="A33" s="27" t="s">
        <v>185</v>
      </c>
      <c r="B33" s="14" t="s">
        <v>140</v>
      </c>
      <c r="C33" s="14" t="s">
        <v>147</v>
      </c>
      <c r="D33" s="14" t="s">
        <v>12</v>
      </c>
      <c r="E33" s="14" t="s">
        <v>186</v>
      </c>
      <c r="F33" s="64">
        <f>G33+H33</f>
        <v>0</v>
      </c>
      <c r="G33" s="64">
        <f>G34</f>
        <v>0</v>
      </c>
      <c r="H33" s="64"/>
    </row>
    <row r="34" spans="1:8" ht="18.75" customHeight="1" hidden="1">
      <c r="A34" s="27" t="s">
        <v>183</v>
      </c>
      <c r="B34" s="14" t="s">
        <v>140</v>
      </c>
      <c r="C34" s="14" t="s">
        <v>147</v>
      </c>
      <c r="D34" s="14" t="s">
        <v>12</v>
      </c>
      <c r="E34" s="14" t="s">
        <v>184</v>
      </c>
      <c r="F34" s="64">
        <f>G34+H34</f>
        <v>0</v>
      </c>
      <c r="G34" s="64">
        <f>5-5</f>
        <v>0</v>
      </c>
      <c r="H34" s="64"/>
    </row>
    <row r="35" spans="1:10" ht="82.5" customHeight="1">
      <c r="A35" s="27" t="s">
        <v>320</v>
      </c>
      <c r="B35" s="14" t="s">
        <v>140</v>
      </c>
      <c r="C35" s="14" t="s">
        <v>151</v>
      </c>
      <c r="D35" s="14" t="s">
        <v>304</v>
      </c>
      <c r="E35" s="14" t="s">
        <v>391</v>
      </c>
      <c r="F35" s="64">
        <f t="shared" si="1"/>
        <v>17478.332</v>
      </c>
      <c r="G35" s="64">
        <f>G36</f>
        <v>17478.332</v>
      </c>
      <c r="H35" s="64"/>
      <c r="J35" s="155"/>
    </row>
    <row r="36" spans="1:9" ht="33.75" customHeight="1">
      <c r="A36" s="27" t="s">
        <v>143</v>
      </c>
      <c r="B36" s="14" t="s">
        <v>140</v>
      </c>
      <c r="C36" s="14" t="s">
        <v>151</v>
      </c>
      <c r="D36" s="14" t="s">
        <v>8</v>
      </c>
      <c r="E36" s="14" t="s">
        <v>391</v>
      </c>
      <c r="F36" s="64">
        <f t="shared" si="1"/>
        <v>17478.332</v>
      </c>
      <c r="G36" s="64">
        <f>G37</f>
        <v>17478.332</v>
      </c>
      <c r="H36" s="64"/>
      <c r="I36" s="149"/>
    </row>
    <row r="37" spans="1:8" ht="47.25" customHeight="1">
      <c r="A37" s="27" t="s">
        <v>144</v>
      </c>
      <c r="B37" s="14" t="s">
        <v>140</v>
      </c>
      <c r="C37" s="14" t="s">
        <v>151</v>
      </c>
      <c r="D37" s="14" t="s">
        <v>9</v>
      </c>
      <c r="E37" s="14" t="s">
        <v>391</v>
      </c>
      <c r="F37" s="64">
        <f>G37+H37</f>
        <v>17478.332</v>
      </c>
      <c r="G37" s="64">
        <f>G38</f>
        <v>17478.332</v>
      </c>
      <c r="H37" s="64">
        <f>H38</f>
        <v>0</v>
      </c>
    </row>
    <row r="38" spans="1:10" s="148" customFormat="1" ht="48.75" customHeight="1">
      <c r="A38" s="31" t="s">
        <v>148</v>
      </c>
      <c r="B38" s="28" t="s">
        <v>140</v>
      </c>
      <c r="C38" s="28" t="s">
        <v>151</v>
      </c>
      <c r="D38" s="28" t="s">
        <v>12</v>
      </c>
      <c r="E38" s="28" t="s">
        <v>391</v>
      </c>
      <c r="F38" s="65">
        <f aca="true" t="shared" si="2" ref="F38:F173">G38+H38</f>
        <v>17478.332</v>
      </c>
      <c r="G38" s="65">
        <f>G39+G41+G43</f>
        <v>17478.332</v>
      </c>
      <c r="H38" s="65">
        <f>SUM(H39:H42)</f>
        <v>0</v>
      </c>
      <c r="J38" s="182"/>
    </row>
    <row r="39" spans="1:8" ht="96" customHeight="1">
      <c r="A39" s="27" t="s">
        <v>177</v>
      </c>
      <c r="B39" s="14" t="s">
        <v>140</v>
      </c>
      <c r="C39" s="14" t="s">
        <v>151</v>
      </c>
      <c r="D39" s="14" t="s">
        <v>12</v>
      </c>
      <c r="E39" s="14" t="s">
        <v>145</v>
      </c>
      <c r="F39" s="64">
        <f t="shared" si="2"/>
        <v>11147</v>
      </c>
      <c r="G39" s="64">
        <f>G40</f>
        <v>11147</v>
      </c>
      <c r="H39" s="64"/>
    </row>
    <row r="40" spans="1:10" ht="39" customHeight="1">
      <c r="A40" s="27" t="s">
        <v>179</v>
      </c>
      <c r="B40" s="14" t="s">
        <v>140</v>
      </c>
      <c r="C40" s="14" t="s">
        <v>151</v>
      </c>
      <c r="D40" s="14" t="s">
        <v>12</v>
      </c>
      <c r="E40" s="14" t="s">
        <v>178</v>
      </c>
      <c r="F40" s="64">
        <f t="shared" si="2"/>
        <v>11147</v>
      </c>
      <c r="G40" s="64">
        <f>9060.7+250+2736.3-230+230-800-100</f>
        <v>11147</v>
      </c>
      <c r="H40" s="64"/>
      <c r="J40" s="153"/>
    </row>
    <row r="41" spans="1:8" ht="33" customHeight="1">
      <c r="A41" s="27" t="s">
        <v>180</v>
      </c>
      <c r="B41" s="14" t="s">
        <v>140</v>
      </c>
      <c r="C41" s="14" t="s">
        <v>151</v>
      </c>
      <c r="D41" s="14" t="s">
        <v>12</v>
      </c>
      <c r="E41" s="14" t="s">
        <v>149</v>
      </c>
      <c r="F41" s="64">
        <f t="shared" si="2"/>
        <v>5823.82</v>
      </c>
      <c r="G41" s="64">
        <f>G42</f>
        <v>5823.82</v>
      </c>
      <c r="H41" s="64"/>
    </row>
    <row r="42" spans="1:8" ht="49.5" customHeight="1">
      <c r="A42" s="27" t="s">
        <v>181</v>
      </c>
      <c r="B42" s="14" t="s">
        <v>140</v>
      </c>
      <c r="C42" s="14" t="s">
        <v>151</v>
      </c>
      <c r="D42" s="14" t="s">
        <v>12</v>
      </c>
      <c r="E42" s="14" t="s">
        <v>182</v>
      </c>
      <c r="F42" s="64">
        <f t="shared" si="2"/>
        <v>5823.82</v>
      </c>
      <c r="G42" s="64">
        <f>6545.82+230+1678-230-1678-245-350-127</f>
        <v>5823.82</v>
      </c>
      <c r="H42" s="64"/>
    </row>
    <row r="43" spans="1:8" ht="18" customHeight="1">
      <c r="A43" s="27" t="s">
        <v>185</v>
      </c>
      <c r="B43" s="14" t="s">
        <v>140</v>
      </c>
      <c r="C43" s="14" t="s">
        <v>151</v>
      </c>
      <c r="D43" s="14" t="s">
        <v>12</v>
      </c>
      <c r="E43" s="14" t="s">
        <v>186</v>
      </c>
      <c r="F43" s="64">
        <f t="shared" si="2"/>
        <v>507.512</v>
      </c>
      <c r="G43" s="64">
        <f>G44</f>
        <v>507.512</v>
      </c>
      <c r="H43" s="64"/>
    </row>
    <row r="44" spans="1:8" ht="17.25" customHeight="1">
      <c r="A44" s="60" t="s">
        <v>183</v>
      </c>
      <c r="B44" s="14" t="s">
        <v>140</v>
      </c>
      <c r="C44" s="14" t="s">
        <v>151</v>
      </c>
      <c r="D44" s="14" t="s">
        <v>12</v>
      </c>
      <c r="E44" s="14" t="s">
        <v>184</v>
      </c>
      <c r="F44" s="64">
        <f t="shared" si="2"/>
        <v>507.512</v>
      </c>
      <c r="G44" s="64">
        <f>492-40.158+55.67</f>
        <v>507.512</v>
      </c>
      <c r="H44" s="64"/>
    </row>
    <row r="45" spans="1:8" ht="49.5" customHeight="1">
      <c r="A45" s="60" t="s">
        <v>706</v>
      </c>
      <c r="B45" s="14" t="s">
        <v>140</v>
      </c>
      <c r="C45" s="14" t="s">
        <v>371</v>
      </c>
      <c r="D45" s="14" t="s">
        <v>440</v>
      </c>
      <c r="E45" s="14" t="s">
        <v>391</v>
      </c>
      <c r="F45" s="64">
        <f>H45</f>
        <v>26.012800000000002</v>
      </c>
      <c r="G45" s="64"/>
      <c r="H45" s="64">
        <f>H46</f>
        <v>26.012800000000002</v>
      </c>
    </row>
    <row r="46" spans="1:8" ht="33.75" customHeight="1">
      <c r="A46" s="27" t="s">
        <v>180</v>
      </c>
      <c r="B46" s="14" t="s">
        <v>140</v>
      </c>
      <c r="C46" s="14" t="s">
        <v>371</v>
      </c>
      <c r="D46" s="14" t="s">
        <v>440</v>
      </c>
      <c r="E46" s="14" t="s">
        <v>149</v>
      </c>
      <c r="F46" s="64">
        <f>H46</f>
        <v>26.012800000000002</v>
      </c>
      <c r="G46" s="64"/>
      <c r="H46" s="64">
        <f>H47</f>
        <v>26.012800000000002</v>
      </c>
    </row>
    <row r="47" spans="1:8" ht="52.5" customHeight="1">
      <c r="A47" s="27" t="s">
        <v>181</v>
      </c>
      <c r="B47" s="14" t="s">
        <v>140</v>
      </c>
      <c r="C47" s="14" t="s">
        <v>371</v>
      </c>
      <c r="D47" s="14" t="s">
        <v>440</v>
      </c>
      <c r="E47" s="14" t="s">
        <v>182</v>
      </c>
      <c r="F47" s="64">
        <f>H47</f>
        <v>26.012800000000002</v>
      </c>
      <c r="G47" s="64"/>
      <c r="H47" s="64">
        <f>26.012+0.0008</f>
        <v>26.012800000000002</v>
      </c>
    </row>
    <row r="48" spans="1:10" ht="63" customHeight="1">
      <c r="A48" s="42" t="s">
        <v>380</v>
      </c>
      <c r="B48" s="59" t="s">
        <v>140</v>
      </c>
      <c r="C48" s="59" t="s">
        <v>153</v>
      </c>
      <c r="D48" s="59" t="s">
        <v>304</v>
      </c>
      <c r="E48" s="59" t="s">
        <v>391</v>
      </c>
      <c r="F48" s="112">
        <f>G48+H48</f>
        <v>7598.620000000002</v>
      </c>
      <c r="G48" s="112">
        <f>G49</f>
        <v>7598.620000000002</v>
      </c>
      <c r="H48" s="112">
        <f>H49</f>
        <v>0</v>
      </c>
      <c r="J48" s="149"/>
    </row>
    <row r="49" spans="1:8" ht="33.75" customHeight="1">
      <c r="A49" s="27" t="s">
        <v>340</v>
      </c>
      <c r="B49" s="14" t="s">
        <v>140</v>
      </c>
      <c r="C49" s="14" t="s">
        <v>153</v>
      </c>
      <c r="D49" s="14" t="s">
        <v>8</v>
      </c>
      <c r="E49" s="14" t="s">
        <v>391</v>
      </c>
      <c r="F49" s="64">
        <f t="shared" si="2"/>
        <v>7598.620000000002</v>
      </c>
      <c r="G49" s="64">
        <f>G50</f>
        <v>7598.620000000002</v>
      </c>
      <c r="H49" s="64">
        <f>H50</f>
        <v>0</v>
      </c>
    </row>
    <row r="50" spans="1:8" ht="47.25" customHeight="1">
      <c r="A50" s="27" t="s">
        <v>144</v>
      </c>
      <c r="B50" s="14" t="s">
        <v>140</v>
      </c>
      <c r="C50" s="14" t="s">
        <v>153</v>
      </c>
      <c r="D50" s="14" t="s">
        <v>9</v>
      </c>
      <c r="E50" s="14" t="s">
        <v>391</v>
      </c>
      <c r="F50" s="64">
        <f t="shared" si="2"/>
        <v>7598.620000000002</v>
      </c>
      <c r="G50" s="64">
        <f>G51+G58+G63</f>
        <v>7598.620000000002</v>
      </c>
      <c r="H50" s="64">
        <f>H51+H58+H63</f>
        <v>0</v>
      </c>
    </row>
    <row r="51" spans="1:9" s="148" customFormat="1" ht="48.75" customHeight="1">
      <c r="A51" s="31" t="s">
        <v>275</v>
      </c>
      <c r="B51" s="28" t="s">
        <v>140</v>
      </c>
      <c r="C51" s="28" t="s">
        <v>153</v>
      </c>
      <c r="D51" s="28" t="s">
        <v>12</v>
      </c>
      <c r="E51" s="28" t="s">
        <v>391</v>
      </c>
      <c r="F51" s="65">
        <f t="shared" si="2"/>
        <v>5909.920000000001</v>
      </c>
      <c r="G51" s="65">
        <f>G52+G54+G56</f>
        <v>5909.920000000001</v>
      </c>
      <c r="H51" s="65">
        <f>SUM(H52:H57)</f>
        <v>0</v>
      </c>
      <c r="I51" s="284"/>
    </row>
    <row r="52" spans="1:8" ht="95.25" customHeight="1">
      <c r="A52" s="27" t="s">
        <v>177</v>
      </c>
      <c r="B52" s="14" t="s">
        <v>140</v>
      </c>
      <c r="C52" s="14" t="s">
        <v>153</v>
      </c>
      <c r="D52" s="14" t="s">
        <v>12</v>
      </c>
      <c r="E52" s="14" t="s">
        <v>145</v>
      </c>
      <c r="F52" s="64">
        <f t="shared" si="2"/>
        <v>4965.520000000001</v>
      </c>
      <c r="G52" s="64">
        <f>G53</f>
        <v>4965.520000000001</v>
      </c>
      <c r="H52" s="64"/>
    </row>
    <row r="53" spans="1:8" ht="33" customHeight="1">
      <c r="A53" s="27" t="s">
        <v>179</v>
      </c>
      <c r="B53" s="14" t="s">
        <v>140</v>
      </c>
      <c r="C53" s="14" t="s">
        <v>153</v>
      </c>
      <c r="D53" s="14" t="s">
        <v>12</v>
      </c>
      <c r="E53" s="14" t="s">
        <v>178</v>
      </c>
      <c r="F53" s="64">
        <f t="shared" si="2"/>
        <v>4965.520000000001</v>
      </c>
      <c r="G53" s="64">
        <f>4284.5+12.7+1293.9+0.02-350-100-35.75375+2.85375-30-6.8-5.9-100</f>
        <v>4965.520000000001</v>
      </c>
      <c r="H53" s="64"/>
    </row>
    <row r="54" spans="1:8" ht="33" customHeight="1">
      <c r="A54" s="27" t="s">
        <v>180</v>
      </c>
      <c r="B54" s="14" t="s">
        <v>140</v>
      </c>
      <c r="C54" s="14" t="s">
        <v>153</v>
      </c>
      <c r="D54" s="14" t="s">
        <v>12</v>
      </c>
      <c r="E54" s="14" t="s">
        <v>149</v>
      </c>
      <c r="F54" s="64">
        <f t="shared" si="2"/>
        <v>944.4</v>
      </c>
      <c r="G54" s="64">
        <f>G55</f>
        <v>944.4</v>
      </c>
      <c r="H54" s="64"/>
    </row>
    <row r="55" spans="1:10" ht="48" customHeight="1">
      <c r="A55" s="27" t="s">
        <v>181</v>
      </c>
      <c r="B55" s="14" t="s">
        <v>140</v>
      </c>
      <c r="C55" s="14" t="s">
        <v>153</v>
      </c>
      <c r="D55" s="14" t="s">
        <v>12</v>
      </c>
      <c r="E55" s="14" t="s">
        <v>182</v>
      </c>
      <c r="F55" s="64">
        <f t="shared" si="2"/>
        <v>944.4</v>
      </c>
      <c r="G55" s="64">
        <f>860.8+58.6+25</f>
        <v>944.4</v>
      </c>
      <c r="H55" s="64"/>
      <c r="J55" s="153"/>
    </row>
    <row r="56" spans="1:8" ht="17.25" customHeight="1" hidden="1">
      <c r="A56" s="27" t="s">
        <v>185</v>
      </c>
      <c r="B56" s="14" t="s">
        <v>140</v>
      </c>
      <c r="C56" s="14" t="s">
        <v>153</v>
      </c>
      <c r="D56" s="14" t="s">
        <v>12</v>
      </c>
      <c r="E56" s="14" t="s">
        <v>186</v>
      </c>
      <c r="F56" s="64">
        <f t="shared" si="2"/>
        <v>0</v>
      </c>
      <c r="G56" s="64">
        <f>G57</f>
        <v>0</v>
      </c>
      <c r="H56" s="64"/>
    </row>
    <row r="57" spans="1:8" ht="17.25" customHeight="1" hidden="1">
      <c r="A57" s="27" t="s">
        <v>183</v>
      </c>
      <c r="B57" s="14" t="s">
        <v>140</v>
      </c>
      <c r="C57" s="14" t="s">
        <v>153</v>
      </c>
      <c r="D57" s="14" t="s">
        <v>12</v>
      </c>
      <c r="E57" s="14" t="s">
        <v>184</v>
      </c>
      <c r="F57" s="64">
        <f t="shared" si="2"/>
        <v>0</v>
      </c>
      <c r="G57" s="64">
        <f>8-3-5</f>
        <v>0</v>
      </c>
      <c r="H57" s="64"/>
    </row>
    <row r="58" spans="1:9" s="148" customFormat="1" ht="48" customHeight="1">
      <c r="A58" s="31" t="s">
        <v>155</v>
      </c>
      <c r="B58" s="28" t="s">
        <v>140</v>
      </c>
      <c r="C58" s="28" t="s">
        <v>153</v>
      </c>
      <c r="D58" s="28" t="s">
        <v>12</v>
      </c>
      <c r="E58" s="28" t="s">
        <v>391</v>
      </c>
      <c r="F58" s="65">
        <f t="shared" si="2"/>
        <v>76.18499999999999</v>
      </c>
      <c r="G58" s="65">
        <f>G59+G61</f>
        <v>76.18499999999999</v>
      </c>
      <c r="H58" s="65"/>
      <c r="I58" s="160"/>
    </row>
    <row r="59" spans="1:8" ht="34.5" customHeight="1">
      <c r="A59" s="27" t="s">
        <v>180</v>
      </c>
      <c r="B59" s="14" t="s">
        <v>140</v>
      </c>
      <c r="C59" s="14" t="s">
        <v>153</v>
      </c>
      <c r="D59" s="14" t="s">
        <v>12</v>
      </c>
      <c r="E59" s="14" t="s">
        <v>149</v>
      </c>
      <c r="F59" s="64">
        <f t="shared" si="2"/>
        <v>75.23899999999999</v>
      </c>
      <c r="G59" s="64">
        <f>G60</f>
        <v>75.23899999999999</v>
      </c>
      <c r="H59" s="64"/>
    </row>
    <row r="60" spans="1:8" ht="45.75" customHeight="1">
      <c r="A60" s="27" t="s">
        <v>181</v>
      </c>
      <c r="B60" s="14" t="s">
        <v>140</v>
      </c>
      <c r="C60" s="14" t="s">
        <v>153</v>
      </c>
      <c r="D60" s="14" t="s">
        <v>12</v>
      </c>
      <c r="E60" s="14" t="s">
        <v>182</v>
      </c>
      <c r="F60" s="64">
        <f t="shared" si="2"/>
        <v>75.23899999999999</v>
      </c>
      <c r="G60" s="64">
        <f>93.3-10-10.855+2.794</f>
        <v>75.23899999999999</v>
      </c>
      <c r="H60" s="64"/>
    </row>
    <row r="61" spans="1:8" ht="16.5" customHeight="1">
      <c r="A61" s="27" t="s">
        <v>185</v>
      </c>
      <c r="B61" s="14" t="s">
        <v>140</v>
      </c>
      <c r="C61" s="14" t="s">
        <v>153</v>
      </c>
      <c r="D61" s="14" t="s">
        <v>12</v>
      </c>
      <c r="E61" s="14" t="s">
        <v>186</v>
      </c>
      <c r="F61" s="64">
        <f t="shared" si="2"/>
        <v>0.946</v>
      </c>
      <c r="G61" s="64">
        <f>G62</f>
        <v>0.946</v>
      </c>
      <c r="H61" s="64"/>
    </row>
    <row r="62" spans="1:8" ht="17.25" customHeight="1">
      <c r="A62" s="60" t="s">
        <v>183</v>
      </c>
      <c r="B62" s="14" t="s">
        <v>140</v>
      </c>
      <c r="C62" s="14" t="s">
        <v>153</v>
      </c>
      <c r="D62" s="14" t="s">
        <v>12</v>
      </c>
      <c r="E62" s="14" t="s">
        <v>184</v>
      </c>
      <c r="F62" s="64">
        <f t="shared" si="2"/>
        <v>0.946</v>
      </c>
      <c r="G62" s="64">
        <f>2-1.054</f>
        <v>0.946</v>
      </c>
      <c r="H62" s="64"/>
    </row>
    <row r="63" spans="1:8" s="148" customFormat="1" ht="16.5" customHeight="1">
      <c r="A63" s="31" t="s">
        <v>156</v>
      </c>
      <c r="B63" s="28" t="s">
        <v>140</v>
      </c>
      <c r="C63" s="28" t="s">
        <v>153</v>
      </c>
      <c r="D63" s="28" t="s">
        <v>13</v>
      </c>
      <c r="E63" s="28" t="s">
        <v>391</v>
      </c>
      <c r="F63" s="65">
        <f t="shared" si="2"/>
        <v>1612.515</v>
      </c>
      <c r="G63" s="65">
        <f>G65</f>
        <v>1612.515</v>
      </c>
      <c r="H63" s="65">
        <f>H65</f>
        <v>0</v>
      </c>
    </row>
    <row r="64" spans="1:9" ht="94.5" customHeight="1">
      <c r="A64" s="27" t="s">
        <v>177</v>
      </c>
      <c r="B64" s="14" t="s">
        <v>140</v>
      </c>
      <c r="C64" s="14" t="s">
        <v>153</v>
      </c>
      <c r="D64" s="14" t="s">
        <v>13</v>
      </c>
      <c r="E64" s="14" t="s">
        <v>145</v>
      </c>
      <c r="F64" s="64">
        <f t="shared" si="2"/>
        <v>1612.515</v>
      </c>
      <c r="G64" s="64">
        <f>G65</f>
        <v>1612.515</v>
      </c>
      <c r="H64" s="64"/>
      <c r="I64" s="285"/>
    </row>
    <row r="65" spans="1:8" ht="34.5" customHeight="1">
      <c r="A65" s="27" t="s">
        <v>179</v>
      </c>
      <c r="B65" s="14" t="s">
        <v>140</v>
      </c>
      <c r="C65" s="14" t="s">
        <v>153</v>
      </c>
      <c r="D65" s="14" t="s">
        <v>13</v>
      </c>
      <c r="E65" s="14" t="s">
        <v>178</v>
      </c>
      <c r="F65" s="64">
        <f t="shared" si="2"/>
        <v>1612.515</v>
      </c>
      <c r="G65" s="64">
        <f>1585.4+21.45+5.665</f>
        <v>1612.515</v>
      </c>
      <c r="H65" s="64"/>
    </row>
    <row r="66" spans="1:8" ht="18.75" customHeight="1" hidden="1">
      <c r="A66" s="27" t="s">
        <v>157</v>
      </c>
      <c r="B66" s="14" t="s">
        <v>140</v>
      </c>
      <c r="C66" s="14" t="s">
        <v>158</v>
      </c>
      <c r="D66" s="14" t="s">
        <v>390</v>
      </c>
      <c r="E66" s="14" t="s">
        <v>391</v>
      </c>
      <c r="F66" s="64">
        <f>G66+H66</f>
        <v>0</v>
      </c>
      <c r="G66" s="64">
        <f>G67</f>
        <v>0</v>
      </c>
      <c r="H66" s="64">
        <f>H67</f>
        <v>0</v>
      </c>
    </row>
    <row r="67" spans="1:8" ht="33" customHeight="1" hidden="1">
      <c r="A67" s="27" t="s">
        <v>159</v>
      </c>
      <c r="B67" s="14" t="s">
        <v>140</v>
      </c>
      <c r="C67" s="14" t="s">
        <v>158</v>
      </c>
      <c r="D67" s="14" t="s">
        <v>268</v>
      </c>
      <c r="E67" s="14" t="s">
        <v>391</v>
      </c>
      <c r="F67" s="64">
        <f t="shared" si="2"/>
        <v>0</v>
      </c>
      <c r="G67" s="64">
        <f>G69</f>
        <v>0</v>
      </c>
      <c r="H67" s="64">
        <f>H69</f>
        <v>0</v>
      </c>
    </row>
    <row r="68" spans="1:8" ht="16.5" customHeight="1" hidden="1">
      <c r="A68" s="27" t="s">
        <v>185</v>
      </c>
      <c r="B68" s="14" t="s">
        <v>140</v>
      </c>
      <c r="C68" s="14" t="s">
        <v>158</v>
      </c>
      <c r="D68" s="14" t="s">
        <v>268</v>
      </c>
      <c r="E68" s="14" t="s">
        <v>186</v>
      </c>
      <c r="F68" s="64">
        <f t="shared" si="2"/>
        <v>0</v>
      </c>
      <c r="G68" s="64">
        <f>G69</f>
        <v>0</v>
      </c>
      <c r="H68" s="64"/>
    </row>
    <row r="69" spans="1:8" ht="18.75" customHeight="1" hidden="1">
      <c r="A69" s="27" t="s">
        <v>187</v>
      </c>
      <c r="B69" s="14" t="s">
        <v>140</v>
      </c>
      <c r="C69" s="14" t="s">
        <v>158</v>
      </c>
      <c r="D69" s="14" t="s">
        <v>268</v>
      </c>
      <c r="E69" s="14" t="s">
        <v>188</v>
      </c>
      <c r="F69" s="64">
        <f t="shared" si="2"/>
        <v>0</v>
      </c>
      <c r="G69" s="64">
        <v>0</v>
      </c>
      <c r="H69" s="64"/>
    </row>
    <row r="70" spans="1:8" ht="39" customHeight="1" hidden="1">
      <c r="A70" s="61" t="s">
        <v>482</v>
      </c>
      <c r="B70" s="59" t="s">
        <v>140</v>
      </c>
      <c r="C70" s="59" t="s">
        <v>374</v>
      </c>
      <c r="D70" s="59" t="s">
        <v>304</v>
      </c>
      <c r="E70" s="59" t="s">
        <v>391</v>
      </c>
      <c r="F70" s="112">
        <f t="shared" si="2"/>
        <v>0</v>
      </c>
      <c r="G70" s="112">
        <f>G71</f>
        <v>0</v>
      </c>
      <c r="H70" s="112"/>
    </row>
    <row r="71" spans="1:8" ht="39" customHeight="1" hidden="1">
      <c r="A71" s="27" t="s">
        <v>483</v>
      </c>
      <c r="B71" s="14" t="s">
        <v>140</v>
      </c>
      <c r="C71" s="14" t="s">
        <v>374</v>
      </c>
      <c r="D71" s="14" t="s">
        <v>8</v>
      </c>
      <c r="E71" s="14" t="s">
        <v>391</v>
      </c>
      <c r="F71" s="64">
        <f t="shared" si="2"/>
        <v>0</v>
      </c>
      <c r="G71" s="64">
        <f>G72</f>
        <v>0</v>
      </c>
      <c r="H71" s="64"/>
    </row>
    <row r="72" spans="1:8" ht="39" customHeight="1" hidden="1">
      <c r="A72" s="27" t="s">
        <v>144</v>
      </c>
      <c r="B72" s="14" t="s">
        <v>140</v>
      </c>
      <c r="C72" s="14" t="s">
        <v>374</v>
      </c>
      <c r="D72" s="14" t="s">
        <v>9</v>
      </c>
      <c r="E72" s="14" t="s">
        <v>391</v>
      </c>
      <c r="F72" s="64">
        <f t="shared" si="2"/>
        <v>0</v>
      </c>
      <c r="G72" s="64">
        <f>G73</f>
        <v>0</v>
      </c>
      <c r="H72" s="64"/>
    </row>
    <row r="73" spans="1:8" ht="39" customHeight="1" hidden="1">
      <c r="A73" s="27" t="s">
        <v>484</v>
      </c>
      <c r="B73" s="14" t="s">
        <v>140</v>
      </c>
      <c r="C73" s="14" t="s">
        <v>374</v>
      </c>
      <c r="D73" s="14" t="s">
        <v>485</v>
      </c>
      <c r="E73" s="14" t="s">
        <v>391</v>
      </c>
      <c r="F73" s="64">
        <f t="shared" si="2"/>
        <v>0</v>
      </c>
      <c r="G73" s="64">
        <f>G74</f>
        <v>0</v>
      </c>
      <c r="H73" s="64"/>
    </row>
    <row r="74" spans="1:8" ht="39" customHeight="1" hidden="1">
      <c r="A74" s="27" t="s">
        <v>185</v>
      </c>
      <c r="B74" s="14" t="s">
        <v>140</v>
      </c>
      <c r="C74" s="14" t="s">
        <v>374</v>
      </c>
      <c r="D74" s="14" t="s">
        <v>485</v>
      </c>
      <c r="E74" s="14" t="s">
        <v>186</v>
      </c>
      <c r="F74" s="64">
        <f t="shared" si="2"/>
        <v>0</v>
      </c>
      <c r="G74" s="64">
        <f>G75</f>
        <v>0</v>
      </c>
      <c r="H74" s="64"/>
    </row>
    <row r="75" spans="1:8" ht="17.25" customHeight="1" hidden="1">
      <c r="A75" s="220" t="s">
        <v>531</v>
      </c>
      <c r="B75" s="14" t="s">
        <v>140</v>
      </c>
      <c r="C75" s="14" t="s">
        <v>374</v>
      </c>
      <c r="D75" s="14" t="s">
        <v>485</v>
      </c>
      <c r="E75" s="14" t="s">
        <v>532</v>
      </c>
      <c r="F75" s="64">
        <f t="shared" si="2"/>
        <v>0</v>
      </c>
      <c r="G75" s="64">
        <v>0</v>
      </c>
      <c r="H75" s="64"/>
    </row>
    <row r="76" spans="1:8" ht="19.5" customHeight="1" hidden="1">
      <c r="A76" s="61" t="s">
        <v>157</v>
      </c>
      <c r="B76" s="59" t="s">
        <v>140</v>
      </c>
      <c r="C76" s="59" t="s">
        <v>158</v>
      </c>
      <c r="D76" s="59" t="s">
        <v>304</v>
      </c>
      <c r="E76" s="59" t="s">
        <v>391</v>
      </c>
      <c r="F76" s="112">
        <f t="shared" si="2"/>
        <v>0</v>
      </c>
      <c r="G76" s="112">
        <f>G77</f>
        <v>0</v>
      </c>
      <c r="H76" s="112"/>
    </row>
    <row r="77" spans="1:8" ht="33.75" customHeight="1" hidden="1">
      <c r="A77" s="221" t="s">
        <v>143</v>
      </c>
      <c r="B77" s="14" t="s">
        <v>140</v>
      </c>
      <c r="C77" s="14" t="s">
        <v>158</v>
      </c>
      <c r="D77" s="81" t="s">
        <v>8</v>
      </c>
      <c r="E77" s="81" t="s">
        <v>391</v>
      </c>
      <c r="F77" s="64">
        <f t="shared" si="2"/>
        <v>0</v>
      </c>
      <c r="G77" s="64">
        <f>G78</f>
        <v>0</v>
      </c>
      <c r="H77" s="64"/>
    </row>
    <row r="78" spans="1:8" ht="49.5" customHeight="1" hidden="1">
      <c r="A78" s="221" t="s">
        <v>144</v>
      </c>
      <c r="B78" s="14" t="s">
        <v>140</v>
      </c>
      <c r="C78" s="14" t="s">
        <v>158</v>
      </c>
      <c r="D78" s="81" t="s">
        <v>9</v>
      </c>
      <c r="E78" s="81" t="s">
        <v>391</v>
      </c>
      <c r="F78" s="64">
        <f t="shared" si="2"/>
        <v>0</v>
      </c>
      <c r="G78" s="64">
        <f>G79</f>
        <v>0</v>
      </c>
      <c r="H78" s="64"/>
    </row>
    <row r="79" spans="1:8" ht="33" customHeight="1" hidden="1">
      <c r="A79" s="221" t="s">
        <v>533</v>
      </c>
      <c r="B79" s="14" t="s">
        <v>140</v>
      </c>
      <c r="C79" s="14" t="s">
        <v>158</v>
      </c>
      <c r="D79" s="14" t="s">
        <v>534</v>
      </c>
      <c r="E79" s="81" t="s">
        <v>391</v>
      </c>
      <c r="F79" s="64">
        <f t="shared" si="2"/>
        <v>0</v>
      </c>
      <c r="G79" s="64">
        <f>G80</f>
        <v>0</v>
      </c>
      <c r="H79" s="64"/>
    </row>
    <row r="80" spans="1:8" ht="20.25" customHeight="1" hidden="1">
      <c r="A80" s="221" t="s">
        <v>185</v>
      </c>
      <c r="B80" s="14" t="s">
        <v>140</v>
      </c>
      <c r="C80" s="14" t="s">
        <v>158</v>
      </c>
      <c r="D80" s="14" t="s">
        <v>534</v>
      </c>
      <c r="E80" s="81" t="s">
        <v>186</v>
      </c>
      <c r="F80" s="64">
        <f t="shared" si="2"/>
        <v>0</v>
      </c>
      <c r="G80" s="64">
        <f>G81</f>
        <v>0</v>
      </c>
      <c r="H80" s="64"/>
    </row>
    <row r="81" spans="1:8" ht="18" customHeight="1" hidden="1">
      <c r="A81" s="221" t="s">
        <v>187</v>
      </c>
      <c r="B81" s="14" t="s">
        <v>140</v>
      </c>
      <c r="C81" s="14" t="s">
        <v>158</v>
      </c>
      <c r="D81" s="14" t="s">
        <v>534</v>
      </c>
      <c r="E81" s="81" t="s">
        <v>188</v>
      </c>
      <c r="F81" s="64">
        <f t="shared" si="2"/>
        <v>0</v>
      </c>
      <c r="G81" s="64">
        <f>100-11.45-24.964+600-25.292-6.497-16.526-16.045-27.55-20-5-20-13.99501-10-502.68099</f>
        <v>0</v>
      </c>
      <c r="H81" s="64"/>
    </row>
    <row r="82" spans="1:12" ht="18.75" customHeight="1">
      <c r="A82" s="62" t="s">
        <v>339</v>
      </c>
      <c r="B82" s="20" t="s">
        <v>140</v>
      </c>
      <c r="C82" s="20" t="s">
        <v>160</v>
      </c>
      <c r="D82" s="20" t="s">
        <v>304</v>
      </c>
      <c r="E82" s="20" t="s">
        <v>391</v>
      </c>
      <c r="F82" s="115">
        <f t="shared" si="2"/>
        <v>11622.785160000001</v>
      </c>
      <c r="G82" s="115">
        <f>G83+G120+G156+G174+G109+G177+G180+G194+G197</f>
        <v>6005.45236</v>
      </c>
      <c r="H82" s="115">
        <f>H83</f>
        <v>5617.332800000001</v>
      </c>
      <c r="J82" s="149"/>
      <c r="K82" s="153"/>
      <c r="L82" s="153"/>
    </row>
    <row r="83" spans="1:8" ht="17.25" customHeight="1">
      <c r="A83" s="27" t="s">
        <v>161</v>
      </c>
      <c r="B83" s="14" t="s">
        <v>140</v>
      </c>
      <c r="C83" s="14" t="s">
        <v>160</v>
      </c>
      <c r="D83" s="14" t="s">
        <v>304</v>
      </c>
      <c r="E83" s="14" t="s">
        <v>391</v>
      </c>
      <c r="F83" s="64">
        <f t="shared" si="2"/>
        <v>5617.332800000001</v>
      </c>
      <c r="G83" s="64">
        <f>G84+G89+G94+G99+G104</f>
        <v>0</v>
      </c>
      <c r="H83" s="64">
        <f>H84+H89+H94+H99+H104+H143+H107</f>
        <v>5617.332800000001</v>
      </c>
    </row>
    <row r="84" spans="1:10" s="148" customFormat="1" ht="64.5" customHeight="1">
      <c r="A84" s="31" t="s">
        <v>162</v>
      </c>
      <c r="B84" s="28" t="s">
        <v>140</v>
      </c>
      <c r="C84" s="28" t="s">
        <v>160</v>
      </c>
      <c r="D84" s="28" t="s">
        <v>14</v>
      </c>
      <c r="E84" s="28" t="s">
        <v>391</v>
      </c>
      <c r="F84" s="65">
        <f t="shared" si="2"/>
        <v>801.977</v>
      </c>
      <c r="G84" s="65">
        <f>SUM(G85:G88)</f>
        <v>0</v>
      </c>
      <c r="H84" s="65">
        <f>H85+H87</f>
        <v>801.977</v>
      </c>
      <c r="J84" s="154"/>
    </row>
    <row r="85" spans="1:9" ht="96" customHeight="1">
      <c r="A85" s="27" t="s">
        <v>177</v>
      </c>
      <c r="B85" s="14" t="s">
        <v>140</v>
      </c>
      <c r="C85" s="14" t="s">
        <v>160</v>
      </c>
      <c r="D85" s="14" t="s">
        <v>14</v>
      </c>
      <c r="E85" s="14" t="s">
        <v>145</v>
      </c>
      <c r="F85" s="64">
        <f t="shared" si="2"/>
        <v>519.68054</v>
      </c>
      <c r="G85" s="64"/>
      <c r="H85" s="64">
        <f>H86</f>
        <v>519.68054</v>
      </c>
      <c r="I85" s="153"/>
    </row>
    <row r="86" spans="1:8" ht="33" customHeight="1">
      <c r="A86" s="52" t="s">
        <v>179</v>
      </c>
      <c r="B86" s="14" t="s">
        <v>140</v>
      </c>
      <c r="C86" s="14" t="s">
        <v>160</v>
      </c>
      <c r="D86" s="14" t="s">
        <v>14</v>
      </c>
      <c r="E86" s="14" t="s">
        <v>178</v>
      </c>
      <c r="F86" s="64">
        <f t="shared" si="2"/>
        <v>519.68054</v>
      </c>
      <c r="G86" s="64"/>
      <c r="H86" s="64">
        <f>542.93+7.116-30.36546</f>
        <v>519.68054</v>
      </c>
    </row>
    <row r="87" spans="1:8" ht="33.75" customHeight="1">
      <c r="A87" s="27" t="s">
        <v>180</v>
      </c>
      <c r="B87" s="14" t="s">
        <v>140</v>
      </c>
      <c r="C87" s="14" t="s">
        <v>160</v>
      </c>
      <c r="D87" s="14" t="s">
        <v>14</v>
      </c>
      <c r="E87" s="14" t="s">
        <v>149</v>
      </c>
      <c r="F87" s="64">
        <f t="shared" si="2"/>
        <v>282.29646</v>
      </c>
      <c r="G87" s="64"/>
      <c r="H87" s="64">
        <f>H88</f>
        <v>282.29646</v>
      </c>
    </row>
    <row r="88" spans="1:8" ht="48.75" customHeight="1">
      <c r="A88" s="52" t="s">
        <v>181</v>
      </c>
      <c r="B88" s="14" t="s">
        <v>140</v>
      </c>
      <c r="C88" s="14" t="s">
        <v>160</v>
      </c>
      <c r="D88" s="14" t="s">
        <v>14</v>
      </c>
      <c r="E88" s="14" t="s">
        <v>182</v>
      </c>
      <c r="F88" s="64">
        <f t="shared" si="2"/>
        <v>282.29646</v>
      </c>
      <c r="G88" s="64"/>
      <c r="H88" s="64">
        <f>251.931+30.36546</f>
        <v>282.29646</v>
      </c>
    </row>
    <row r="89" spans="1:10" s="161" customFormat="1" ht="48" customHeight="1">
      <c r="A89" s="31" t="s">
        <v>401</v>
      </c>
      <c r="B89" s="28" t="s">
        <v>140</v>
      </c>
      <c r="C89" s="28" t="s">
        <v>160</v>
      </c>
      <c r="D89" s="6" t="s">
        <v>803</v>
      </c>
      <c r="E89" s="28" t="s">
        <v>391</v>
      </c>
      <c r="F89" s="65">
        <f t="shared" si="2"/>
        <v>1208.767</v>
      </c>
      <c r="G89" s="65">
        <f>SUM(G90:G93)</f>
        <v>0</v>
      </c>
      <c r="H89" s="65">
        <f>H90+H92</f>
        <v>1208.767</v>
      </c>
      <c r="J89" s="162"/>
    </row>
    <row r="90" spans="1:8" s="164" customFormat="1" ht="96.75" customHeight="1">
      <c r="A90" s="27" t="s">
        <v>177</v>
      </c>
      <c r="B90" s="14" t="s">
        <v>140</v>
      </c>
      <c r="C90" s="14" t="s">
        <v>160</v>
      </c>
      <c r="D90" s="14" t="s">
        <v>803</v>
      </c>
      <c r="E90" s="14" t="s">
        <v>145</v>
      </c>
      <c r="F90" s="64">
        <f t="shared" si="2"/>
        <v>1121.82248</v>
      </c>
      <c r="G90" s="115"/>
      <c r="H90" s="64">
        <f>H91</f>
        <v>1121.82248</v>
      </c>
    </row>
    <row r="91" spans="1:8" ht="31.5" customHeight="1">
      <c r="A91" s="52" t="s">
        <v>179</v>
      </c>
      <c r="B91" s="14" t="s">
        <v>140</v>
      </c>
      <c r="C91" s="14" t="s">
        <v>160</v>
      </c>
      <c r="D91" s="14" t="s">
        <v>803</v>
      </c>
      <c r="E91" s="14" t="s">
        <v>178</v>
      </c>
      <c r="F91" s="64">
        <f t="shared" si="2"/>
        <v>1121.82248</v>
      </c>
      <c r="G91" s="64"/>
      <c r="H91" s="64">
        <f>1139.911+10.976-18.08852-10.976</f>
        <v>1121.82248</v>
      </c>
    </row>
    <row r="92" spans="1:9" ht="33.75" customHeight="1">
      <c r="A92" s="27" t="s">
        <v>180</v>
      </c>
      <c r="B92" s="14" t="s">
        <v>140</v>
      </c>
      <c r="C92" s="14" t="s">
        <v>160</v>
      </c>
      <c r="D92" s="14" t="s">
        <v>803</v>
      </c>
      <c r="E92" s="14" t="s">
        <v>149</v>
      </c>
      <c r="F92" s="64">
        <f t="shared" si="2"/>
        <v>86.94452</v>
      </c>
      <c r="G92" s="64"/>
      <c r="H92" s="64">
        <f>H93</f>
        <v>86.94452</v>
      </c>
      <c r="I92" s="149"/>
    </row>
    <row r="93" spans="1:8" ht="49.5" customHeight="1">
      <c r="A93" s="52" t="s">
        <v>181</v>
      </c>
      <c r="B93" s="14" t="s">
        <v>140</v>
      </c>
      <c r="C93" s="14" t="s">
        <v>160</v>
      </c>
      <c r="D93" s="14" t="s">
        <v>803</v>
      </c>
      <c r="E93" s="14" t="s">
        <v>182</v>
      </c>
      <c r="F93" s="64">
        <f t="shared" si="2"/>
        <v>86.94452</v>
      </c>
      <c r="G93" s="64"/>
      <c r="H93" s="64">
        <f>57.88+18.08852+10.976</f>
        <v>86.94452</v>
      </c>
    </row>
    <row r="94" spans="1:10" s="148" customFormat="1" ht="49.5" customHeight="1">
      <c r="A94" s="31" t="s">
        <v>163</v>
      </c>
      <c r="B94" s="28" t="s">
        <v>140</v>
      </c>
      <c r="C94" s="28" t="s">
        <v>160</v>
      </c>
      <c r="D94" s="28" t="s">
        <v>803</v>
      </c>
      <c r="E94" s="28" t="s">
        <v>391</v>
      </c>
      <c r="F94" s="65">
        <f t="shared" si="2"/>
        <v>773.416</v>
      </c>
      <c r="G94" s="65">
        <f>SUM(G95:G98)</f>
        <v>0</v>
      </c>
      <c r="H94" s="65">
        <f>H95+H97</f>
        <v>773.416</v>
      </c>
      <c r="J94" s="154"/>
    </row>
    <row r="95" spans="1:8" ht="97.5" customHeight="1">
      <c r="A95" s="27" t="s">
        <v>177</v>
      </c>
      <c r="B95" s="14" t="s">
        <v>140</v>
      </c>
      <c r="C95" s="14" t="s">
        <v>160</v>
      </c>
      <c r="D95" s="14" t="s">
        <v>803</v>
      </c>
      <c r="E95" s="14" t="s">
        <v>145</v>
      </c>
      <c r="F95" s="64">
        <f t="shared" si="2"/>
        <v>720.0174900000001</v>
      </c>
      <c r="G95" s="64"/>
      <c r="H95" s="64">
        <f>H96</f>
        <v>720.0174900000001</v>
      </c>
    </row>
    <row r="96" spans="1:8" ht="31.5" customHeight="1">
      <c r="A96" s="52" t="s">
        <v>179</v>
      </c>
      <c r="B96" s="14" t="s">
        <v>140</v>
      </c>
      <c r="C96" s="14" t="s">
        <v>160</v>
      </c>
      <c r="D96" s="14" t="s">
        <v>803</v>
      </c>
      <c r="E96" s="14" t="s">
        <v>178</v>
      </c>
      <c r="F96" s="64">
        <f t="shared" si="2"/>
        <v>720.0174900000001</v>
      </c>
      <c r="G96" s="64"/>
      <c r="H96" s="64">
        <f>719.07+6.991-6.04351</f>
        <v>720.0174900000001</v>
      </c>
    </row>
    <row r="97" spans="1:8" ht="35.25" customHeight="1">
      <c r="A97" s="27" t="s">
        <v>180</v>
      </c>
      <c r="B97" s="14" t="s">
        <v>140</v>
      </c>
      <c r="C97" s="14" t="s">
        <v>160</v>
      </c>
      <c r="D97" s="14" t="s">
        <v>803</v>
      </c>
      <c r="E97" s="14" t="s">
        <v>149</v>
      </c>
      <c r="F97" s="64">
        <f t="shared" si="2"/>
        <v>53.398509999999995</v>
      </c>
      <c r="G97" s="64"/>
      <c r="H97" s="64">
        <f>H98</f>
        <v>53.398509999999995</v>
      </c>
    </row>
    <row r="98" spans="1:8" ht="48" customHeight="1">
      <c r="A98" s="52" t="s">
        <v>181</v>
      </c>
      <c r="B98" s="14" t="s">
        <v>140</v>
      </c>
      <c r="C98" s="14" t="s">
        <v>160</v>
      </c>
      <c r="D98" s="14" t="s">
        <v>803</v>
      </c>
      <c r="E98" s="14" t="s">
        <v>182</v>
      </c>
      <c r="F98" s="64">
        <f t="shared" si="2"/>
        <v>53.398509999999995</v>
      </c>
      <c r="G98" s="64"/>
      <c r="H98" s="64">
        <f>47.355+6.04351</f>
        <v>53.398509999999995</v>
      </c>
    </row>
    <row r="99" spans="1:10" s="148" customFormat="1" ht="108.75" customHeight="1">
      <c r="A99" s="31" t="s">
        <v>15</v>
      </c>
      <c r="B99" s="28" t="s">
        <v>140</v>
      </c>
      <c r="C99" s="28" t="s">
        <v>160</v>
      </c>
      <c r="D99" s="28" t="s">
        <v>305</v>
      </c>
      <c r="E99" s="28" t="s">
        <v>391</v>
      </c>
      <c r="F99" s="65">
        <f t="shared" si="2"/>
        <v>1395.192</v>
      </c>
      <c r="G99" s="65">
        <f>SUM(G100:G103)</f>
        <v>0</v>
      </c>
      <c r="H99" s="65">
        <f>H100+H102</f>
        <v>1395.192</v>
      </c>
      <c r="I99" s="163"/>
      <c r="J99" s="163"/>
    </row>
    <row r="100" spans="1:10" ht="96" customHeight="1">
      <c r="A100" s="27" t="s">
        <v>177</v>
      </c>
      <c r="B100" s="14" t="s">
        <v>140</v>
      </c>
      <c r="C100" s="14" t="s">
        <v>160</v>
      </c>
      <c r="D100" s="14" t="s">
        <v>305</v>
      </c>
      <c r="E100" s="14" t="s">
        <v>145</v>
      </c>
      <c r="F100" s="64">
        <f t="shared" si="2"/>
        <v>1245.88467</v>
      </c>
      <c r="G100" s="64"/>
      <c r="H100" s="64">
        <f>H101</f>
        <v>1245.88467</v>
      </c>
      <c r="I100" s="286"/>
      <c r="J100" s="286"/>
    </row>
    <row r="101" spans="1:10" ht="31.5" customHeight="1">
      <c r="A101" s="52" t="s">
        <v>179</v>
      </c>
      <c r="B101" s="14" t="s">
        <v>140</v>
      </c>
      <c r="C101" s="14" t="s">
        <v>160</v>
      </c>
      <c r="D101" s="14" t="s">
        <v>305</v>
      </c>
      <c r="E101" s="14" t="s">
        <v>178</v>
      </c>
      <c r="F101" s="64">
        <f t="shared" si="2"/>
        <v>1245.88467</v>
      </c>
      <c r="G101" s="64"/>
      <c r="H101" s="64">
        <f>1242.908+2.97667</f>
        <v>1245.88467</v>
      </c>
      <c r="I101" s="286"/>
      <c r="J101" s="286"/>
    </row>
    <row r="102" spans="1:10" ht="33" customHeight="1">
      <c r="A102" s="27" t="s">
        <v>180</v>
      </c>
      <c r="B102" s="14" t="s">
        <v>140</v>
      </c>
      <c r="C102" s="14" t="s">
        <v>160</v>
      </c>
      <c r="D102" s="14" t="s">
        <v>305</v>
      </c>
      <c r="E102" s="14" t="s">
        <v>149</v>
      </c>
      <c r="F102" s="64">
        <f t="shared" si="2"/>
        <v>149.30732999999998</v>
      </c>
      <c r="G102" s="64"/>
      <c r="H102" s="64">
        <f>H103</f>
        <v>149.30732999999998</v>
      </c>
      <c r="I102" s="286"/>
      <c r="J102" s="286"/>
    </row>
    <row r="103" spans="1:10" ht="45.75" customHeight="1">
      <c r="A103" s="52" t="s">
        <v>181</v>
      </c>
      <c r="B103" s="14" t="s">
        <v>140</v>
      </c>
      <c r="C103" s="14" t="s">
        <v>160</v>
      </c>
      <c r="D103" s="14" t="s">
        <v>305</v>
      </c>
      <c r="E103" s="14" t="s">
        <v>182</v>
      </c>
      <c r="F103" s="64">
        <f t="shared" si="2"/>
        <v>149.30732999999998</v>
      </c>
      <c r="G103" s="64"/>
      <c r="H103" s="64">
        <f>118.254+34.03-2.97667</f>
        <v>149.30732999999998</v>
      </c>
      <c r="I103" s="286"/>
      <c r="J103" s="286"/>
    </row>
    <row r="104" spans="1:10" ht="63" customHeight="1">
      <c r="A104" s="46" t="s">
        <v>863</v>
      </c>
      <c r="B104" s="28" t="s">
        <v>140</v>
      </c>
      <c r="C104" s="28" t="s">
        <v>160</v>
      </c>
      <c r="D104" s="28" t="s">
        <v>864</v>
      </c>
      <c r="E104" s="28" t="s">
        <v>391</v>
      </c>
      <c r="F104" s="65">
        <f>G104+H104</f>
        <v>272.232</v>
      </c>
      <c r="G104" s="65"/>
      <c r="H104" s="65">
        <f>H105</f>
        <v>272.232</v>
      </c>
      <c r="I104" s="286"/>
      <c r="J104" s="286"/>
    </row>
    <row r="105" spans="1:10" ht="45.75" customHeight="1">
      <c r="A105" s="27" t="s">
        <v>180</v>
      </c>
      <c r="B105" s="14" t="s">
        <v>140</v>
      </c>
      <c r="C105" s="14" t="s">
        <v>160</v>
      </c>
      <c r="D105" s="14" t="s">
        <v>864</v>
      </c>
      <c r="E105" s="14" t="s">
        <v>149</v>
      </c>
      <c r="F105" s="64">
        <f>G105+H105</f>
        <v>272.232</v>
      </c>
      <c r="G105" s="64"/>
      <c r="H105" s="64">
        <f>H106</f>
        <v>272.232</v>
      </c>
      <c r="I105" s="286"/>
      <c r="J105" s="286"/>
    </row>
    <row r="106" spans="1:10" ht="45.75" customHeight="1">
      <c r="A106" s="52" t="s">
        <v>181</v>
      </c>
      <c r="B106" s="14" t="s">
        <v>140</v>
      </c>
      <c r="C106" s="14" t="s">
        <v>160</v>
      </c>
      <c r="D106" s="14" t="s">
        <v>864</v>
      </c>
      <c r="E106" s="14" t="s">
        <v>182</v>
      </c>
      <c r="F106" s="64">
        <f>G106+H106</f>
        <v>272.232</v>
      </c>
      <c r="G106" s="64"/>
      <c r="H106" s="64">
        <v>272.232</v>
      </c>
      <c r="I106" s="286"/>
      <c r="J106" s="286"/>
    </row>
    <row r="107" spans="1:8" ht="35.25" customHeight="1">
      <c r="A107" s="52" t="s">
        <v>802</v>
      </c>
      <c r="B107" s="14" t="s">
        <v>140</v>
      </c>
      <c r="C107" s="14" t="s">
        <v>160</v>
      </c>
      <c r="D107" s="14" t="s">
        <v>804</v>
      </c>
      <c r="E107" s="14" t="s">
        <v>391</v>
      </c>
      <c r="F107" s="64">
        <f t="shared" si="2"/>
        <v>307.152</v>
      </c>
      <c r="G107" s="64"/>
      <c r="H107" s="64">
        <f>H108</f>
        <v>307.152</v>
      </c>
    </row>
    <row r="108" spans="1:8" ht="50.25" customHeight="1">
      <c r="A108" s="52" t="s">
        <v>181</v>
      </c>
      <c r="B108" s="14" t="s">
        <v>140</v>
      </c>
      <c r="C108" s="14" t="s">
        <v>160</v>
      </c>
      <c r="D108" s="14" t="s">
        <v>804</v>
      </c>
      <c r="E108" s="14" t="s">
        <v>182</v>
      </c>
      <c r="F108" s="64">
        <f t="shared" si="2"/>
        <v>307.152</v>
      </c>
      <c r="G108" s="64"/>
      <c r="H108" s="64">
        <v>307.152</v>
      </c>
    </row>
    <row r="109" spans="1:8" ht="18.75" customHeight="1" hidden="1">
      <c r="A109" s="63" t="s">
        <v>339</v>
      </c>
      <c r="B109" s="14" t="s">
        <v>140</v>
      </c>
      <c r="C109" s="14" t="s">
        <v>160</v>
      </c>
      <c r="D109" s="20" t="s">
        <v>304</v>
      </c>
      <c r="E109" s="20" t="s">
        <v>391</v>
      </c>
      <c r="F109" s="115">
        <f t="shared" si="2"/>
        <v>0</v>
      </c>
      <c r="G109" s="115">
        <f>G114+G111</f>
        <v>0</v>
      </c>
      <c r="H109" s="115">
        <f>H114+H111</f>
        <v>0</v>
      </c>
    </row>
    <row r="110" spans="1:8" s="148" customFormat="1" ht="81" customHeight="1" hidden="1">
      <c r="A110" s="287" t="s">
        <v>413</v>
      </c>
      <c r="B110" s="14" t="s">
        <v>140</v>
      </c>
      <c r="C110" s="14" t="s">
        <v>160</v>
      </c>
      <c r="D110" s="28" t="s">
        <v>25</v>
      </c>
      <c r="E110" s="28" t="s">
        <v>391</v>
      </c>
      <c r="F110" s="64">
        <f>G110+H110</f>
        <v>0</v>
      </c>
      <c r="G110" s="65">
        <f>G111</f>
        <v>0</v>
      </c>
      <c r="H110" s="112"/>
    </row>
    <row r="111" spans="1:8" ht="67.5" customHeight="1" hidden="1">
      <c r="A111" s="52" t="s">
        <v>406</v>
      </c>
      <c r="B111" s="14" t="s">
        <v>140</v>
      </c>
      <c r="C111" s="14" t="s">
        <v>160</v>
      </c>
      <c r="D111" s="14" t="s">
        <v>94</v>
      </c>
      <c r="E111" s="14" t="s">
        <v>204</v>
      </c>
      <c r="F111" s="64">
        <f t="shared" si="2"/>
        <v>0</v>
      </c>
      <c r="G111" s="64">
        <f>G112</f>
        <v>0</v>
      </c>
      <c r="H111" s="115"/>
    </row>
    <row r="112" spans="1:8" ht="51" customHeight="1" hidden="1">
      <c r="A112" s="52" t="s">
        <v>203</v>
      </c>
      <c r="B112" s="14" t="s">
        <v>140</v>
      </c>
      <c r="C112" s="14" t="s">
        <v>160</v>
      </c>
      <c r="D112" s="14" t="s">
        <v>94</v>
      </c>
      <c r="E112" s="14" t="s">
        <v>204</v>
      </c>
      <c r="F112" s="64">
        <f t="shared" si="2"/>
        <v>0</v>
      </c>
      <c r="G112" s="64">
        <f>G113</f>
        <v>0</v>
      </c>
      <c r="H112" s="115"/>
    </row>
    <row r="113" spans="1:8" ht="19.5" customHeight="1" hidden="1">
      <c r="A113" s="52" t="s">
        <v>405</v>
      </c>
      <c r="B113" s="14" t="s">
        <v>140</v>
      </c>
      <c r="C113" s="14" t="s">
        <v>160</v>
      </c>
      <c r="D113" s="14" t="s">
        <v>94</v>
      </c>
      <c r="E113" s="14" t="s">
        <v>119</v>
      </c>
      <c r="F113" s="64">
        <f t="shared" si="2"/>
        <v>0</v>
      </c>
      <c r="G113" s="64"/>
      <c r="H113" s="115"/>
    </row>
    <row r="114" spans="1:8" ht="81" customHeight="1" hidden="1">
      <c r="A114" s="288" t="s">
        <v>125</v>
      </c>
      <c r="B114" s="14" t="s">
        <v>140</v>
      </c>
      <c r="C114" s="14" t="s">
        <v>160</v>
      </c>
      <c r="D114" s="14" t="s">
        <v>443</v>
      </c>
      <c r="E114" s="14" t="s">
        <v>391</v>
      </c>
      <c r="F114" s="64">
        <f t="shared" si="2"/>
        <v>0</v>
      </c>
      <c r="G114" s="64">
        <f>G115</f>
        <v>0</v>
      </c>
      <c r="H114" s="64">
        <f>H115</f>
        <v>0</v>
      </c>
    </row>
    <row r="115" spans="1:8" ht="51.75" customHeight="1" hidden="1">
      <c r="A115" s="27" t="s">
        <v>203</v>
      </c>
      <c r="B115" s="14" t="s">
        <v>140</v>
      </c>
      <c r="C115" s="14" t="s">
        <v>160</v>
      </c>
      <c r="D115" s="14" t="s">
        <v>443</v>
      </c>
      <c r="E115" s="14" t="s">
        <v>204</v>
      </c>
      <c r="F115" s="64">
        <f t="shared" si="2"/>
        <v>0</v>
      </c>
      <c r="G115" s="64"/>
      <c r="H115" s="64">
        <f>H116</f>
        <v>0</v>
      </c>
    </row>
    <row r="116" spans="1:8" ht="17.25" customHeight="1" hidden="1">
      <c r="A116" s="27" t="s">
        <v>405</v>
      </c>
      <c r="B116" s="14" t="s">
        <v>140</v>
      </c>
      <c r="C116" s="14" t="s">
        <v>160</v>
      </c>
      <c r="D116" s="14" t="s">
        <v>443</v>
      </c>
      <c r="E116" s="14" t="s">
        <v>119</v>
      </c>
      <c r="F116" s="64">
        <f t="shared" si="2"/>
        <v>0</v>
      </c>
      <c r="G116" s="64">
        <v>0</v>
      </c>
      <c r="H116" s="64"/>
    </row>
    <row r="117" spans="1:8" ht="66.75" customHeight="1" hidden="1">
      <c r="A117" s="31" t="s">
        <v>755</v>
      </c>
      <c r="B117" s="28" t="s">
        <v>140</v>
      </c>
      <c r="C117" s="28" t="s">
        <v>160</v>
      </c>
      <c r="D117" s="28" t="s">
        <v>756</v>
      </c>
      <c r="E117" s="28" t="s">
        <v>391</v>
      </c>
      <c r="F117" s="65">
        <f>G117+H117</f>
        <v>0</v>
      </c>
      <c r="G117" s="65"/>
      <c r="H117" s="65">
        <f>H118</f>
        <v>0</v>
      </c>
    </row>
    <row r="118" spans="1:8" ht="78" customHeight="1" hidden="1">
      <c r="A118" s="27" t="s">
        <v>177</v>
      </c>
      <c r="B118" s="14" t="s">
        <v>140</v>
      </c>
      <c r="C118" s="14" t="s">
        <v>160</v>
      </c>
      <c r="D118" s="14" t="s">
        <v>756</v>
      </c>
      <c r="E118" s="14" t="s">
        <v>145</v>
      </c>
      <c r="F118" s="64">
        <f>G118+H118</f>
        <v>0</v>
      </c>
      <c r="G118" s="64"/>
      <c r="H118" s="64">
        <f>H119</f>
        <v>0</v>
      </c>
    </row>
    <row r="119" spans="1:8" ht="35.25" customHeight="1" hidden="1">
      <c r="A119" s="52" t="s">
        <v>179</v>
      </c>
      <c r="B119" s="14" t="s">
        <v>140</v>
      </c>
      <c r="C119" s="14" t="s">
        <v>160</v>
      </c>
      <c r="D119" s="14" t="s">
        <v>756</v>
      </c>
      <c r="E119" s="14" t="s">
        <v>178</v>
      </c>
      <c r="F119" s="64">
        <f>G119+H119</f>
        <v>0</v>
      </c>
      <c r="G119" s="64">
        <v>0</v>
      </c>
      <c r="H119" s="64">
        <v>0</v>
      </c>
    </row>
    <row r="120" spans="1:8" ht="34.5" customHeight="1">
      <c r="A120" s="27" t="s">
        <v>143</v>
      </c>
      <c r="B120" s="14" t="s">
        <v>140</v>
      </c>
      <c r="C120" s="14" t="s">
        <v>160</v>
      </c>
      <c r="D120" s="14" t="s">
        <v>8</v>
      </c>
      <c r="E120" s="14" t="s">
        <v>391</v>
      </c>
      <c r="F120" s="64">
        <f t="shared" si="2"/>
        <v>5897.45236</v>
      </c>
      <c r="G120" s="64">
        <f>G121</f>
        <v>5897.45236</v>
      </c>
      <c r="H120" s="64">
        <f>H121</f>
        <v>0</v>
      </c>
    </row>
    <row r="121" spans="1:8" ht="51" customHeight="1">
      <c r="A121" s="27" t="s">
        <v>144</v>
      </c>
      <c r="B121" s="14" t="s">
        <v>140</v>
      </c>
      <c r="C121" s="14" t="s">
        <v>160</v>
      </c>
      <c r="D121" s="14" t="s">
        <v>9</v>
      </c>
      <c r="E121" s="14" t="s">
        <v>391</v>
      </c>
      <c r="F121" s="64">
        <f t="shared" si="2"/>
        <v>5897.45236</v>
      </c>
      <c r="G121" s="64">
        <f>G122+G127+G130+G133+G138+G150+G153</f>
        <v>5897.45236</v>
      </c>
      <c r="H121" s="64">
        <f>H122</f>
        <v>0</v>
      </c>
    </row>
    <row r="122" spans="1:10" s="148" customFormat="1" ht="49.5" customHeight="1">
      <c r="A122" s="31" t="s">
        <v>535</v>
      </c>
      <c r="B122" s="28" t="s">
        <v>140</v>
      </c>
      <c r="C122" s="28" t="s">
        <v>160</v>
      </c>
      <c r="D122" s="28" t="s">
        <v>12</v>
      </c>
      <c r="E122" s="28" t="s">
        <v>391</v>
      </c>
      <c r="F122" s="65">
        <f>G122+H122</f>
        <v>3907.82</v>
      </c>
      <c r="G122" s="65">
        <f>G123+G125</f>
        <v>3907.82</v>
      </c>
      <c r="H122" s="65">
        <f>SUM(H123:H126)</f>
        <v>0</v>
      </c>
      <c r="J122" s="289"/>
    </row>
    <row r="123" spans="1:8" ht="96" customHeight="1">
      <c r="A123" s="27" t="s">
        <v>177</v>
      </c>
      <c r="B123" s="14" t="s">
        <v>140</v>
      </c>
      <c r="C123" s="14" t="s">
        <v>160</v>
      </c>
      <c r="D123" s="14" t="s">
        <v>12</v>
      </c>
      <c r="E123" s="14" t="s">
        <v>145</v>
      </c>
      <c r="F123" s="64">
        <f t="shared" si="2"/>
        <v>3754.7200000000003</v>
      </c>
      <c r="G123" s="64">
        <f>G124</f>
        <v>3754.7200000000003</v>
      </c>
      <c r="H123" s="64"/>
    </row>
    <row r="124" spans="1:8" ht="34.5" customHeight="1">
      <c r="A124" s="52" t="s">
        <v>179</v>
      </c>
      <c r="B124" s="14" t="s">
        <v>140</v>
      </c>
      <c r="C124" s="14" t="s">
        <v>160</v>
      </c>
      <c r="D124" s="14" t="s">
        <v>12</v>
      </c>
      <c r="E124" s="14" t="s">
        <v>178</v>
      </c>
      <c r="F124" s="64">
        <f t="shared" si="2"/>
        <v>3754.7200000000003</v>
      </c>
      <c r="G124" s="64">
        <f>3025.9+55+913.82-240</f>
        <v>3754.7200000000003</v>
      </c>
      <c r="H124" s="64"/>
    </row>
    <row r="125" spans="1:8" ht="35.25" customHeight="1">
      <c r="A125" s="27" t="s">
        <v>180</v>
      </c>
      <c r="B125" s="14" t="s">
        <v>140</v>
      </c>
      <c r="C125" s="14" t="s">
        <v>160</v>
      </c>
      <c r="D125" s="14" t="s">
        <v>12</v>
      </c>
      <c r="E125" s="14" t="s">
        <v>149</v>
      </c>
      <c r="F125" s="64">
        <f t="shared" si="2"/>
        <v>153.10000000000008</v>
      </c>
      <c r="G125" s="64">
        <f>G126</f>
        <v>153.10000000000008</v>
      </c>
      <c r="H125" s="64"/>
    </row>
    <row r="126" spans="1:8" ht="49.5" customHeight="1">
      <c r="A126" s="52" t="s">
        <v>181</v>
      </c>
      <c r="B126" s="14" t="s">
        <v>140</v>
      </c>
      <c r="C126" s="14" t="s">
        <v>160</v>
      </c>
      <c r="D126" s="14" t="s">
        <v>12</v>
      </c>
      <c r="E126" s="14" t="s">
        <v>182</v>
      </c>
      <c r="F126" s="64">
        <f>G126+H126</f>
        <v>153.10000000000008</v>
      </c>
      <c r="G126" s="64">
        <f>4080.62-3994.72+19.2+48</f>
        <v>153.10000000000008</v>
      </c>
      <c r="H126" s="64"/>
    </row>
    <row r="127" spans="1:8" s="148" customFormat="1" ht="15.75" customHeight="1">
      <c r="A127" s="31" t="s">
        <v>189</v>
      </c>
      <c r="B127" s="28" t="s">
        <v>140</v>
      </c>
      <c r="C127" s="28" t="s">
        <v>160</v>
      </c>
      <c r="D127" s="28" t="s">
        <v>16</v>
      </c>
      <c r="E127" s="28" t="s">
        <v>391</v>
      </c>
      <c r="F127" s="65">
        <f>G127+H127</f>
        <v>105</v>
      </c>
      <c r="G127" s="65">
        <f>G128</f>
        <v>105</v>
      </c>
      <c r="H127" s="65">
        <f>H128</f>
        <v>0</v>
      </c>
    </row>
    <row r="128" spans="1:8" ht="15.75" customHeight="1">
      <c r="A128" s="27" t="s">
        <v>185</v>
      </c>
      <c r="B128" s="14" t="s">
        <v>140</v>
      </c>
      <c r="C128" s="14" t="s">
        <v>160</v>
      </c>
      <c r="D128" s="14" t="s">
        <v>16</v>
      </c>
      <c r="E128" s="14" t="s">
        <v>186</v>
      </c>
      <c r="F128" s="64">
        <f>G128+H128</f>
        <v>105</v>
      </c>
      <c r="G128" s="64">
        <f>G129</f>
        <v>105</v>
      </c>
      <c r="H128" s="64">
        <f>H129</f>
        <v>0</v>
      </c>
    </row>
    <row r="129" spans="1:8" ht="15.75" customHeight="1">
      <c r="A129" s="27" t="s">
        <v>189</v>
      </c>
      <c r="B129" s="14" t="s">
        <v>140</v>
      </c>
      <c r="C129" s="14" t="s">
        <v>160</v>
      </c>
      <c r="D129" s="14" t="s">
        <v>16</v>
      </c>
      <c r="E129" s="14" t="s">
        <v>190</v>
      </c>
      <c r="F129" s="64">
        <f>G129+H129</f>
        <v>105</v>
      </c>
      <c r="G129" s="64">
        <f>2+25+78</f>
        <v>105</v>
      </c>
      <c r="H129" s="64"/>
    </row>
    <row r="130" spans="1:8" s="148" customFormat="1" ht="69.75" customHeight="1">
      <c r="A130" s="31" t="s">
        <v>351</v>
      </c>
      <c r="B130" s="28" t="s">
        <v>140</v>
      </c>
      <c r="C130" s="28" t="s">
        <v>160</v>
      </c>
      <c r="D130" s="28" t="s">
        <v>17</v>
      </c>
      <c r="E130" s="28" t="s">
        <v>391</v>
      </c>
      <c r="F130" s="65">
        <f t="shared" si="2"/>
        <v>453</v>
      </c>
      <c r="G130" s="65">
        <f>G131</f>
        <v>453</v>
      </c>
      <c r="H130" s="65">
        <f>H132</f>
        <v>0</v>
      </c>
    </row>
    <row r="131" spans="1:8" ht="35.25" customHeight="1">
      <c r="A131" s="27" t="s">
        <v>180</v>
      </c>
      <c r="B131" s="14" t="s">
        <v>140</v>
      </c>
      <c r="C131" s="14" t="s">
        <v>160</v>
      </c>
      <c r="D131" s="14" t="s">
        <v>17</v>
      </c>
      <c r="E131" s="14" t="s">
        <v>149</v>
      </c>
      <c r="F131" s="64">
        <f t="shared" si="2"/>
        <v>453</v>
      </c>
      <c r="G131" s="64">
        <f>G132</f>
        <v>453</v>
      </c>
      <c r="H131" s="64"/>
    </row>
    <row r="132" spans="1:8" ht="49.5" customHeight="1">
      <c r="A132" s="52" t="s">
        <v>181</v>
      </c>
      <c r="B132" s="14" t="s">
        <v>140</v>
      </c>
      <c r="C132" s="14" t="s">
        <v>160</v>
      </c>
      <c r="D132" s="14" t="s">
        <v>17</v>
      </c>
      <c r="E132" s="14" t="s">
        <v>182</v>
      </c>
      <c r="F132" s="64">
        <f t="shared" si="2"/>
        <v>453</v>
      </c>
      <c r="G132" s="64">
        <f>430+320-25-272</f>
        <v>453</v>
      </c>
      <c r="H132" s="64"/>
    </row>
    <row r="133" spans="1:8" ht="16.5" customHeight="1">
      <c r="A133" s="46" t="s">
        <v>492</v>
      </c>
      <c r="B133" s="28" t="s">
        <v>140</v>
      </c>
      <c r="C133" s="28" t="s">
        <v>160</v>
      </c>
      <c r="D133" s="28" t="s">
        <v>493</v>
      </c>
      <c r="E133" s="28" t="s">
        <v>391</v>
      </c>
      <c r="F133" s="65">
        <f aca="true" t="shared" si="3" ref="F133:F142">G133</f>
        <v>1049.8870100000001</v>
      </c>
      <c r="G133" s="65">
        <f>G134+G136</f>
        <v>1049.8870100000001</v>
      </c>
      <c r="H133" s="65"/>
    </row>
    <row r="134" spans="1:8" ht="34.5" customHeight="1">
      <c r="A134" s="27" t="s">
        <v>180</v>
      </c>
      <c r="B134" s="14" t="s">
        <v>140</v>
      </c>
      <c r="C134" s="14" t="s">
        <v>160</v>
      </c>
      <c r="D134" s="14" t="s">
        <v>493</v>
      </c>
      <c r="E134" s="14" t="s">
        <v>149</v>
      </c>
      <c r="F134" s="64">
        <f t="shared" si="3"/>
        <v>1049.8870100000001</v>
      </c>
      <c r="G134" s="64">
        <f>G135</f>
        <v>1049.8870100000001</v>
      </c>
      <c r="H134" s="64"/>
    </row>
    <row r="135" spans="1:8" ht="49.5" customHeight="1">
      <c r="A135" s="52" t="s">
        <v>181</v>
      </c>
      <c r="B135" s="14" t="s">
        <v>140</v>
      </c>
      <c r="C135" s="14" t="s">
        <v>160</v>
      </c>
      <c r="D135" s="14" t="s">
        <v>493</v>
      </c>
      <c r="E135" s="14" t="s">
        <v>182</v>
      </c>
      <c r="F135" s="64">
        <f t="shared" si="3"/>
        <v>1049.8870100000001</v>
      </c>
      <c r="G135" s="64">
        <f>1402.9-504.6-2+138.78701-13.7+28.5</f>
        <v>1049.8870100000001</v>
      </c>
      <c r="H135" s="64"/>
    </row>
    <row r="136" spans="1:8" ht="21.75" customHeight="1" hidden="1">
      <c r="A136" s="27" t="s">
        <v>185</v>
      </c>
      <c r="B136" s="14" t="s">
        <v>140</v>
      </c>
      <c r="C136" s="14" t="s">
        <v>160</v>
      </c>
      <c r="D136" s="14" t="s">
        <v>493</v>
      </c>
      <c r="E136" s="14" t="s">
        <v>186</v>
      </c>
      <c r="F136" s="64">
        <f t="shared" si="3"/>
        <v>0</v>
      </c>
      <c r="G136" s="64">
        <f>G137</f>
        <v>0</v>
      </c>
      <c r="H136" s="64"/>
    </row>
    <row r="137" spans="1:8" ht="21" customHeight="1" hidden="1">
      <c r="A137" s="60" t="s">
        <v>183</v>
      </c>
      <c r="B137" s="14" t="s">
        <v>140</v>
      </c>
      <c r="C137" s="14" t="s">
        <v>160</v>
      </c>
      <c r="D137" s="14" t="s">
        <v>493</v>
      </c>
      <c r="E137" s="14" t="s">
        <v>184</v>
      </c>
      <c r="F137" s="64">
        <f t="shared" si="3"/>
        <v>0</v>
      </c>
      <c r="G137" s="64"/>
      <c r="H137" s="64"/>
    </row>
    <row r="138" spans="1:8" s="148" customFormat="1" ht="18" customHeight="1" hidden="1">
      <c r="A138" s="188" t="s">
        <v>521</v>
      </c>
      <c r="B138" s="28" t="s">
        <v>140</v>
      </c>
      <c r="C138" s="28" t="s">
        <v>160</v>
      </c>
      <c r="D138" s="28" t="s">
        <v>522</v>
      </c>
      <c r="E138" s="28" t="s">
        <v>391</v>
      </c>
      <c r="F138" s="65">
        <f t="shared" si="3"/>
        <v>0</v>
      </c>
      <c r="G138" s="65">
        <f>G140+G141</f>
        <v>0</v>
      </c>
      <c r="H138" s="65"/>
    </row>
    <row r="139" spans="1:8" s="148" customFormat="1" ht="36.75" customHeight="1" hidden="1">
      <c r="A139" s="27" t="s">
        <v>180</v>
      </c>
      <c r="B139" s="14" t="s">
        <v>140</v>
      </c>
      <c r="C139" s="14" t="s">
        <v>160</v>
      </c>
      <c r="D139" s="14" t="s">
        <v>522</v>
      </c>
      <c r="E139" s="14" t="s">
        <v>149</v>
      </c>
      <c r="F139" s="64">
        <f t="shared" si="3"/>
        <v>0</v>
      </c>
      <c r="G139" s="64">
        <f>G140</f>
        <v>0</v>
      </c>
      <c r="H139" s="65"/>
    </row>
    <row r="140" spans="1:8" ht="48.75" customHeight="1" hidden="1">
      <c r="A140" s="52" t="s">
        <v>181</v>
      </c>
      <c r="B140" s="14" t="s">
        <v>140</v>
      </c>
      <c r="C140" s="14" t="s">
        <v>160</v>
      </c>
      <c r="D140" s="14" t="s">
        <v>522</v>
      </c>
      <c r="E140" s="14" t="s">
        <v>182</v>
      </c>
      <c r="F140" s="64">
        <f t="shared" si="3"/>
        <v>0</v>
      </c>
      <c r="G140" s="64"/>
      <c r="H140" s="64"/>
    </row>
    <row r="141" spans="1:8" ht="21" customHeight="1" hidden="1">
      <c r="A141" s="27" t="s">
        <v>185</v>
      </c>
      <c r="B141" s="14" t="s">
        <v>140</v>
      </c>
      <c r="C141" s="14" t="s">
        <v>160</v>
      </c>
      <c r="D141" s="14" t="s">
        <v>522</v>
      </c>
      <c r="E141" s="14" t="s">
        <v>186</v>
      </c>
      <c r="F141" s="64">
        <f t="shared" si="3"/>
        <v>0</v>
      </c>
      <c r="G141" s="64">
        <f>G142</f>
        <v>0</v>
      </c>
      <c r="H141" s="64"/>
    </row>
    <row r="142" spans="1:8" ht="15.75" customHeight="1" hidden="1">
      <c r="A142" s="60" t="s">
        <v>183</v>
      </c>
      <c r="B142" s="14" t="s">
        <v>140</v>
      </c>
      <c r="C142" s="14" t="s">
        <v>160</v>
      </c>
      <c r="D142" s="14" t="s">
        <v>522</v>
      </c>
      <c r="E142" s="14" t="s">
        <v>184</v>
      </c>
      <c r="F142" s="64">
        <f t="shared" si="3"/>
        <v>0</v>
      </c>
      <c r="G142" s="64"/>
      <c r="H142" s="64"/>
    </row>
    <row r="143" spans="1:10" s="164" customFormat="1" ht="81" customHeight="1">
      <c r="A143" s="61" t="s">
        <v>536</v>
      </c>
      <c r="B143" s="59" t="s">
        <v>140</v>
      </c>
      <c r="C143" s="59" t="s">
        <v>160</v>
      </c>
      <c r="D143" s="59" t="s">
        <v>304</v>
      </c>
      <c r="E143" s="59" t="s">
        <v>391</v>
      </c>
      <c r="F143" s="112">
        <f>G143+H143</f>
        <v>858.5968</v>
      </c>
      <c r="G143" s="112">
        <v>0</v>
      </c>
      <c r="H143" s="112">
        <f>H144</f>
        <v>858.5968</v>
      </c>
      <c r="I143" s="184"/>
      <c r="J143" s="185"/>
    </row>
    <row r="144" spans="1:9" ht="38.25" customHeight="1">
      <c r="A144" s="27" t="s">
        <v>483</v>
      </c>
      <c r="B144" s="14" t="s">
        <v>140</v>
      </c>
      <c r="C144" s="14" t="s">
        <v>160</v>
      </c>
      <c r="D144" s="14" t="s">
        <v>8</v>
      </c>
      <c r="E144" s="14" t="s">
        <v>391</v>
      </c>
      <c r="F144" s="64">
        <f aca="true" t="shared" si="4" ref="F144:F152">G144+H144</f>
        <v>858.5968</v>
      </c>
      <c r="G144" s="64"/>
      <c r="H144" s="64">
        <f>H145</f>
        <v>858.5968</v>
      </c>
      <c r="I144" s="149"/>
    </row>
    <row r="145" spans="1:11" ht="45.75" customHeight="1">
      <c r="A145" s="27" t="s">
        <v>144</v>
      </c>
      <c r="B145" s="14" t="s">
        <v>140</v>
      </c>
      <c r="C145" s="14" t="s">
        <v>160</v>
      </c>
      <c r="D145" s="14" t="s">
        <v>9</v>
      </c>
      <c r="E145" s="14" t="s">
        <v>391</v>
      </c>
      <c r="F145" s="64">
        <f t="shared" si="4"/>
        <v>858.5968</v>
      </c>
      <c r="G145" s="64"/>
      <c r="H145" s="64">
        <f>H146+H148</f>
        <v>858.5968</v>
      </c>
      <c r="I145" s="165"/>
      <c r="J145" s="165"/>
      <c r="K145" s="156"/>
    </row>
    <row r="146" spans="1:9" ht="91.5" customHeight="1">
      <c r="A146" s="27" t="s">
        <v>177</v>
      </c>
      <c r="B146" s="14" t="s">
        <v>140</v>
      </c>
      <c r="C146" s="14" t="s">
        <v>160</v>
      </c>
      <c r="D146" s="14" t="s">
        <v>537</v>
      </c>
      <c r="E146" s="14" t="s">
        <v>145</v>
      </c>
      <c r="F146" s="64">
        <f t="shared" si="4"/>
        <v>638.26269</v>
      </c>
      <c r="G146" s="64">
        <v>0</v>
      </c>
      <c r="H146" s="64">
        <f>H147</f>
        <v>638.26269</v>
      </c>
      <c r="I146" s="149"/>
    </row>
    <row r="147" spans="1:8" ht="32.25" customHeight="1">
      <c r="A147" s="27" t="s">
        <v>179</v>
      </c>
      <c r="B147" s="14" t="s">
        <v>140</v>
      </c>
      <c r="C147" s="14" t="s">
        <v>160</v>
      </c>
      <c r="D147" s="14" t="s">
        <v>537</v>
      </c>
      <c r="E147" s="14" t="s">
        <v>178</v>
      </c>
      <c r="F147" s="64">
        <f t="shared" si="4"/>
        <v>638.26269</v>
      </c>
      <c r="G147" s="64"/>
      <c r="H147" s="64">
        <f>843.033-33.84307-170.92724</f>
        <v>638.26269</v>
      </c>
    </row>
    <row r="148" spans="1:8" ht="37.5" customHeight="1">
      <c r="A148" s="27" t="s">
        <v>180</v>
      </c>
      <c r="B148" s="14" t="s">
        <v>140</v>
      </c>
      <c r="C148" s="14" t="s">
        <v>160</v>
      </c>
      <c r="D148" s="14" t="s">
        <v>537</v>
      </c>
      <c r="E148" s="14" t="s">
        <v>149</v>
      </c>
      <c r="F148" s="64">
        <f t="shared" si="4"/>
        <v>220.33411</v>
      </c>
      <c r="G148" s="64">
        <v>0</v>
      </c>
      <c r="H148" s="64">
        <f>H149</f>
        <v>220.33411</v>
      </c>
    </row>
    <row r="149" spans="1:10" ht="49.5" customHeight="1">
      <c r="A149" s="52" t="s">
        <v>181</v>
      </c>
      <c r="B149" s="14" t="s">
        <v>140</v>
      </c>
      <c r="C149" s="14" t="s">
        <v>160</v>
      </c>
      <c r="D149" s="14" t="s">
        <v>537</v>
      </c>
      <c r="E149" s="14" t="s">
        <v>182</v>
      </c>
      <c r="F149" s="64">
        <f t="shared" si="4"/>
        <v>220.33411</v>
      </c>
      <c r="G149" s="64"/>
      <c r="H149" s="64">
        <f>36.88687+12.52+170.92724</f>
        <v>220.33411</v>
      </c>
      <c r="J149" s="165"/>
    </row>
    <row r="150" spans="1:10" ht="45.75" customHeight="1">
      <c r="A150" s="46" t="s">
        <v>721</v>
      </c>
      <c r="B150" s="28" t="s">
        <v>140</v>
      </c>
      <c r="C150" s="28" t="s">
        <v>160</v>
      </c>
      <c r="D150" s="28" t="s">
        <v>722</v>
      </c>
      <c r="E150" s="28" t="s">
        <v>391</v>
      </c>
      <c r="F150" s="65">
        <f t="shared" si="4"/>
        <v>159.17535</v>
      </c>
      <c r="G150" s="65">
        <f>G151</f>
        <v>159.17535</v>
      </c>
      <c r="H150" s="65"/>
      <c r="J150" s="165"/>
    </row>
    <row r="151" spans="1:10" ht="35.25" customHeight="1">
      <c r="A151" s="27" t="s">
        <v>180</v>
      </c>
      <c r="B151" s="14" t="s">
        <v>140</v>
      </c>
      <c r="C151" s="14" t="s">
        <v>160</v>
      </c>
      <c r="D151" s="14" t="s">
        <v>722</v>
      </c>
      <c r="E151" s="14" t="s">
        <v>149</v>
      </c>
      <c r="F151" s="64">
        <f t="shared" si="4"/>
        <v>159.17535</v>
      </c>
      <c r="G151" s="64">
        <f>G152</f>
        <v>159.17535</v>
      </c>
      <c r="H151" s="64"/>
      <c r="J151" s="165"/>
    </row>
    <row r="152" spans="1:10" ht="48" customHeight="1">
      <c r="A152" s="52" t="s">
        <v>181</v>
      </c>
      <c r="B152" s="14" t="s">
        <v>140</v>
      </c>
      <c r="C152" s="14" t="s">
        <v>160</v>
      </c>
      <c r="D152" s="14" t="s">
        <v>722</v>
      </c>
      <c r="E152" s="14" t="s">
        <v>182</v>
      </c>
      <c r="F152" s="64">
        <f t="shared" si="4"/>
        <v>159.17535</v>
      </c>
      <c r="G152" s="64">
        <f>11.45+24.964+25.292+6.497+16.526+16.045+27.55+20+5+20-14.14865</f>
        <v>159.17535</v>
      </c>
      <c r="H152" s="64"/>
      <c r="J152" s="165"/>
    </row>
    <row r="153" spans="1:10" ht="34.5" customHeight="1">
      <c r="A153" s="61" t="s">
        <v>877</v>
      </c>
      <c r="B153" s="59" t="s">
        <v>140</v>
      </c>
      <c r="C153" s="59" t="s">
        <v>160</v>
      </c>
      <c r="D153" s="59" t="s">
        <v>878</v>
      </c>
      <c r="E153" s="59" t="s">
        <v>391</v>
      </c>
      <c r="F153" s="112">
        <f>G153+H153</f>
        <v>222.57000000000002</v>
      </c>
      <c r="G153" s="112">
        <f>G154</f>
        <v>222.57000000000002</v>
      </c>
      <c r="H153" s="112"/>
      <c r="J153" s="165"/>
    </row>
    <row r="154" spans="1:10" ht="36" customHeight="1">
      <c r="A154" s="27" t="s">
        <v>180</v>
      </c>
      <c r="B154" s="14" t="s">
        <v>140</v>
      </c>
      <c r="C154" s="14" t="s">
        <v>160</v>
      </c>
      <c r="D154" s="14" t="s">
        <v>878</v>
      </c>
      <c r="E154" s="14" t="s">
        <v>149</v>
      </c>
      <c r="F154" s="64">
        <f>G154+H154</f>
        <v>222.57000000000002</v>
      </c>
      <c r="G154" s="64">
        <f>G155</f>
        <v>222.57000000000002</v>
      </c>
      <c r="H154" s="64"/>
      <c r="J154" s="165"/>
    </row>
    <row r="155" spans="1:10" ht="48.75" customHeight="1">
      <c r="A155" s="52" t="s">
        <v>181</v>
      </c>
      <c r="B155" s="14" t="s">
        <v>140</v>
      </c>
      <c r="C155" s="14" t="s">
        <v>160</v>
      </c>
      <c r="D155" s="14" t="s">
        <v>878</v>
      </c>
      <c r="E155" s="14" t="s">
        <v>182</v>
      </c>
      <c r="F155" s="64">
        <f>G155+H155</f>
        <v>222.57000000000002</v>
      </c>
      <c r="G155" s="64">
        <f>9.24+213.33</f>
        <v>222.57000000000002</v>
      </c>
      <c r="H155" s="64"/>
      <c r="J155" s="165"/>
    </row>
    <row r="156" spans="1:8" s="148" customFormat="1" ht="50.25" customHeight="1">
      <c r="A156" s="31" t="s">
        <v>452</v>
      </c>
      <c r="B156" s="28" t="s">
        <v>140</v>
      </c>
      <c r="C156" s="28" t="s">
        <v>160</v>
      </c>
      <c r="D156" s="28" t="s">
        <v>26</v>
      </c>
      <c r="E156" s="28" t="s">
        <v>391</v>
      </c>
      <c r="F156" s="65">
        <f t="shared" si="2"/>
        <v>83</v>
      </c>
      <c r="G156" s="65">
        <f>G157+G160+G168+G171</f>
        <v>83</v>
      </c>
      <c r="H156" s="65">
        <f>H160+H171</f>
        <v>0</v>
      </c>
    </row>
    <row r="157" spans="1:8" s="166" customFormat="1" ht="35.25" customHeight="1" hidden="1">
      <c r="A157" s="32" t="s">
        <v>28</v>
      </c>
      <c r="B157" s="14" t="s">
        <v>140</v>
      </c>
      <c r="C157" s="14" t="s">
        <v>160</v>
      </c>
      <c r="D157" s="6" t="s">
        <v>27</v>
      </c>
      <c r="E157" s="14" t="s">
        <v>391</v>
      </c>
      <c r="F157" s="64">
        <f t="shared" si="2"/>
        <v>0</v>
      </c>
      <c r="G157" s="64">
        <f>G158</f>
        <v>0</v>
      </c>
      <c r="H157" s="116"/>
    </row>
    <row r="158" spans="1:8" ht="39" customHeight="1" hidden="1">
      <c r="A158" s="27" t="s">
        <v>180</v>
      </c>
      <c r="B158" s="14" t="s">
        <v>140</v>
      </c>
      <c r="C158" s="14" t="s">
        <v>160</v>
      </c>
      <c r="D158" s="6" t="s">
        <v>29</v>
      </c>
      <c r="E158" s="14" t="s">
        <v>149</v>
      </c>
      <c r="F158" s="64">
        <f t="shared" si="2"/>
        <v>0</v>
      </c>
      <c r="G158" s="64">
        <f>G159</f>
        <v>0</v>
      </c>
      <c r="H158" s="64"/>
    </row>
    <row r="159" spans="1:8" ht="47.25" customHeight="1" hidden="1">
      <c r="A159" s="52" t="s">
        <v>181</v>
      </c>
      <c r="B159" s="14" t="s">
        <v>140</v>
      </c>
      <c r="C159" s="14" t="s">
        <v>160</v>
      </c>
      <c r="D159" s="6" t="s">
        <v>30</v>
      </c>
      <c r="E159" s="14" t="s">
        <v>182</v>
      </c>
      <c r="F159" s="64">
        <f t="shared" si="2"/>
        <v>0</v>
      </c>
      <c r="G159" s="64"/>
      <c r="H159" s="64"/>
    </row>
    <row r="160" spans="1:8" ht="36" customHeight="1" hidden="1">
      <c r="A160" s="133" t="s">
        <v>279</v>
      </c>
      <c r="B160" s="14" t="s">
        <v>140</v>
      </c>
      <c r="C160" s="14" t="s">
        <v>160</v>
      </c>
      <c r="D160" s="6" t="s">
        <v>44</v>
      </c>
      <c r="E160" s="14" t="s">
        <v>391</v>
      </c>
      <c r="F160" s="64">
        <f>F161</f>
        <v>0</v>
      </c>
      <c r="G160" s="64">
        <f>G161</f>
        <v>0</v>
      </c>
      <c r="H160" s="64">
        <f>H161</f>
        <v>0</v>
      </c>
    </row>
    <row r="161" spans="1:8" ht="63.75" customHeight="1" hidden="1">
      <c r="A161" s="31" t="s">
        <v>649</v>
      </c>
      <c r="B161" s="28" t="s">
        <v>140</v>
      </c>
      <c r="C161" s="28" t="s">
        <v>160</v>
      </c>
      <c r="D161" s="28" t="s">
        <v>304</v>
      </c>
      <c r="E161" s="28" t="s">
        <v>391</v>
      </c>
      <c r="F161" s="65">
        <f>G161+H161</f>
        <v>0</v>
      </c>
      <c r="G161" s="65">
        <f>G165</f>
        <v>0</v>
      </c>
      <c r="H161" s="65">
        <f>H162</f>
        <v>0</v>
      </c>
    </row>
    <row r="162" spans="1:8" ht="94.5" customHeight="1" hidden="1">
      <c r="A162" s="27" t="s">
        <v>666</v>
      </c>
      <c r="B162" s="14" t="s">
        <v>140</v>
      </c>
      <c r="C162" s="14" t="s">
        <v>160</v>
      </c>
      <c r="D162" s="14" t="s">
        <v>655</v>
      </c>
      <c r="E162" s="14" t="s">
        <v>391</v>
      </c>
      <c r="F162" s="64">
        <f aca="true" t="shared" si="5" ref="F162:F167">G162+H162</f>
        <v>0</v>
      </c>
      <c r="G162" s="64"/>
      <c r="H162" s="64">
        <f>H163</f>
        <v>0</v>
      </c>
    </row>
    <row r="163" spans="1:8" ht="49.5" customHeight="1" hidden="1">
      <c r="A163" s="52" t="s">
        <v>572</v>
      </c>
      <c r="B163" s="14" t="s">
        <v>140</v>
      </c>
      <c r="C163" s="14" t="s">
        <v>160</v>
      </c>
      <c r="D163" s="14" t="s">
        <v>655</v>
      </c>
      <c r="E163" s="14" t="s">
        <v>573</v>
      </c>
      <c r="F163" s="64">
        <f t="shared" si="5"/>
        <v>0</v>
      </c>
      <c r="G163" s="64"/>
      <c r="H163" s="64">
        <f>H164</f>
        <v>0</v>
      </c>
    </row>
    <row r="164" spans="1:8" ht="16.5" customHeight="1" hidden="1">
      <c r="A164" s="52" t="s">
        <v>574</v>
      </c>
      <c r="B164" s="14" t="s">
        <v>140</v>
      </c>
      <c r="C164" s="14" t="s">
        <v>160</v>
      </c>
      <c r="D164" s="14" t="s">
        <v>655</v>
      </c>
      <c r="E164" s="14" t="s">
        <v>575</v>
      </c>
      <c r="F164" s="64">
        <f t="shared" si="5"/>
        <v>0</v>
      </c>
      <c r="G164" s="64"/>
      <c r="H164" s="64">
        <v>0</v>
      </c>
    </row>
    <row r="165" spans="1:8" ht="96" customHeight="1" hidden="1">
      <c r="A165" s="27" t="s">
        <v>667</v>
      </c>
      <c r="B165" s="14" t="s">
        <v>140</v>
      </c>
      <c r="C165" s="14" t="s">
        <v>160</v>
      </c>
      <c r="D165" s="14" t="s">
        <v>709</v>
      </c>
      <c r="E165" s="14" t="s">
        <v>391</v>
      </c>
      <c r="F165" s="64">
        <f t="shared" si="5"/>
        <v>0</v>
      </c>
      <c r="G165" s="64">
        <f>G166</f>
        <v>0</v>
      </c>
      <c r="H165" s="64"/>
    </row>
    <row r="166" spans="1:8" ht="50.25" customHeight="1" hidden="1">
      <c r="A166" s="52" t="s">
        <v>572</v>
      </c>
      <c r="B166" s="14" t="s">
        <v>140</v>
      </c>
      <c r="C166" s="14" t="s">
        <v>160</v>
      </c>
      <c r="D166" s="14" t="s">
        <v>709</v>
      </c>
      <c r="E166" s="14" t="s">
        <v>573</v>
      </c>
      <c r="F166" s="64">
        <f t="shared" si="5"/>
        <v>0</v>
      </c>
      <c r="G166" s="64">
        <f>G167</f>
        <v>0</v>
      </c>
      <c r="H166" s="64"/>
    </row>
    <row r="167" spans="1:8" ht="18" customHeight="1" hidden="1">
      <c r="A167" s="52" t="s">
        <v>574</v>
      </c>
      <c r="B167" s="14" t="s">
        <v>140</v>
      </c>
      <c r="C167" s="14" t="s">
        <v>160</v>
      </c>
      <c r="D167" s="14" t="s">
        <v>709</v>
      </c>
      <c r="E167" s="14" t="s">
        <v>575</v>
      </c>
      <c r="F167" s="64">
        <f t="shared" si="5"/>
        <v>0</v>
      </c>
      <c r="G167" s="64">
        <f>325-255-70</f>
        <v>0</v>
      </c>
      <c r="H167" s="64"/>
    </row>
    <row r="168" spans="1:8" ht="92.25" customHeight="1" hidden="1">
      <c r="A168" s="31" t="s">
        <v>665</v>
      </c>
      <c r="B168" s="28" t="s">
        <v>140</v>
      </c>
      <c r="C168" s="28" t="s">
        <v>160</v>
      </c>
      <c r="D168" s="28" t="s">
        <v>656</v>
      </c>
      <c r="E168" s="28" t="s">
        <v>391</v>
      </c>
      <c r="F168" s="65">
        <f>G168+H168</f>
        <v>0</v>
      </c>
      <c r="G168" s="65">
        <f>G169</f>
        <v>0</v>
      </c>
      <c r="H168" s="65"/>
    </row>
    <row r="169" spans="1:8" ht="36" customHeight="1" hidden="1">
      <c r="A169" s="27" t="s">
        <v>180</v>
      </c>
      <c r="B169" s="14" t="s">
        <v>140</v>
      </c>
      <c r="C169" s="14" t="s">
        <v>160</v>
      </c>
      <c r="D169" s="14" t="s">
        <v>656</v>
      </c>
      <c r="E169" s="14" t="s">
        <v>149</v>
      </c>
      <c r="F169" s="64">
        <f>G169+H169</f>
        <v>0</v>
      </c>
      <c r="G169" s="64">
        <f>G170</f>
        <v>0</v>
      </c>
      <c r="H169" s="64"/>
    </row>
    <row r="170" spans="1:8" ht="50.25" customHeight="1" hidden="1">
      <c r="A170" s="52" t="s">
        <v>181</v>
      </c>
      <c r="B170" s="14" t="s">
        <v>140</v>
      </c>
      <c r="C170" s="14" t="s">
        <v>160</v>
      </c>
      <c r="D170" s="14" t="s">
        <v>656</v>
      </c>
      <c r="E170" s="14" t="s">
        <v>182</v>
      </c>
      <c r="F170" s="64">
        <f>G170+H170</f>
        <v>0</v>
      </c>
      <c r="G170" s="64">
        <v>0</v>
      </c>
      <c r="H170" s="64"/>
    </row>
    <row r="171" spans="1:8" ht="36" customHeight="1">
      <c r="A171" s="32" t="s">
        <v>31</v>
      </c>
      <c r="B171" s="14" t="s">
        <v>140</v>
      </c>
      <c r="C171" s="14" t="s">
        <v>160</v>
      </c>
      <c r="D171" s="14" t="s">
        <v>32</v>
      </c>
      <c r="E171" s="14" t="s">
        <v>391</v>
      </c>
      <c r="F171" s="64">
        <f t="shared" si="2"/>
        <v>83</v>
      </c>
      <c r="G171" s="64">
        <f>G172</f>
        <v>83</v>
      </c>
      <c r="H171" s="64">
        <f>H173</f>
        <v>0</v>
      </c>
    </row>
    <row r="172" spans="1:8" ht="34.5" customHeight="1">
      <c r="A172" s="27" t="s">
        <v>180</v>
      </c>
      <c r="B172" s="14" t="s">
        <v>140</v>
      </c>
      <c r="C172" s="14" t="s">
        <v>160</v>
      </c>
      <c r="D172" s="14" t="s">
        <v>658</v>
      </c>
      <c r="E172" s="14" t="s">
        <v>149</v>
      </c>
      <c r="F172" s="64">
        <f t="shared" si="2"/>
        <v>83</v>
      </c>
      <c r="G172" s="64">
        <f>G173</f>
        <v>83</v>
      </c>
      <c r="H172" s="64"/>
    </row>
    <row r="173" spans="1:8" ht="48" customHeight="1">
      <c r="A173" s="52" t="s">
        <v>181</v>
      </c>
      <c r="B173" s="14" t="s">
        <v>140</v>
      </c>
      <c r="C173" s="14" t="s">
        <v>160</v>
      </c>
      <c r="D173" s="14" t="s">
        <v>658</v>
      </c>
      <c r="E173" s="14" t="s">
        <v>182</v>
      </c>
      <c r="F173" s="64">
        <f t="shared" si="2"/>
        <v>83</v>
      </c>
      <c r="G173" s="64">
        <v>83</v>
      </c>
      <c r="H173" s="64"/>
    </row>
    <row r="174" spans="1:8" s="148" customFormat="1" ht="63" customHeight="1">
      <c r="A174" s="31" t="s">
        <v>466</v>
      </c>
      <c r="B174" s="28" t="s">
        <v>140</v>
      </c>
      <c r="C174" s="28" t="s">
        <v>160</v>
      </c>
      <c r="D174" s="28" t="s">
        <v>33</v>
      </c>
      <c r="E174" s="28" t="s">
        <v>391</v>
      </c>
      <c r="F174" s="65">
        <f aca="true" t="shared" si="6" ref="F174:F354">G174+H174</f>
        <v>10</v>
      </c>
      <c r="G174" s="65">
        <f>G175</f>
        <v>10</v>
      </c>
      <c r="H174" s="65">
        <f>H176</f>
        <v>0</v>
      </c>
    </row>
    <row r="175" spans="1:8" ht="35.25" customHeight="1">
      <c r="A175" s="27" t="s">
        <v>180</v>
      </c>
      <c r="B175" s="14" t="s">
        <v>140</v>
      </c>
      <c r="C175" s="14" t="s">
        <v>160</v>
      </c>
      <c r="D175" s="14" t="s">
        <v>34</v>
      </c>
      <c r="E175" s="14" t="s">
        <v>149</v>
      </c>
      <c r="F175" s="64">
        <f t="shared" si="6"/>
        <v>10</v>
      </c>
      <c r="G175" s="64">
        <f>G176</f>
        <v>10</v>
      </c>
      <c r="H175" s="64"/>
    </row>
    <row r="176" spans="1:8" ht="50.25" customHeight="1">
      <c r="A176" s="52" t="s">
        <v>181</v>
      </c>
      <c r="B176" s="14" t="s">
        <v>140</v>
      </c>
      <c r="C176" s="14" t="s">
        <v>160</v>
      </c>
      <c r="D176" s="14" t="s">
        <v>35</v>
      </c>
      <c r="E176" s="14" t="s">
        <v>182</v>
      </c>
      <c r="F176" s="64">
        <f t="shared" si="6"/>
        <v>10</v>
      </c>
      <c r="G176" s="64">
        <v>10</v>
      </c>
      <c r="H176" s="64"/>
    </row>
    <row r="177" spans="1:8" s="148" customFormat="1" ht="48.75" customHeight="1" hidden="1">
      <c r="A177" s="46" t="s">
        <v>415</v>
      </c>
      <c r="B177" s="28" t="s">
        <v>140</v>
      </c>
      <c r="C177" s="28" t="s">
        <v>160</v>
      </c>
      <c r="D177" s="28" t="s">
        <v>36</v>
      </c>
      <c r="E177" s="28" t="s">
        <v>391</v>
      </c>
      <c r="F177" s="65">
        <f>G177+H177</f>
        <v>0</v>
      </c>
      <c r="G177" s="65">
        <f>G178</f>
        <v>0</v>
      </c>
      <c r="H177" s="65">
        <f>H178</f>
        <v>0</v>
      </c>
    </row>
    <row r="178" spans="1:8" ht="34.5" customHeight="1" hidden="1">
      <c r="A178" s="52" t="s">
        <v>180</v>
      </c>
      <c r="B178" s="14" t="s">
        <v>140</v>
      </c>
      <c r="C178" s="14" t="s">
        <v>160</v>
      </c>
      <c r="D178" s="14" t="s">
        <v>477</v>
      </c>
      <c r="E178" s="14" t="s">
        <v>149</v>
      </c>
      <c r="F178" s="64">
        <f>G178+H178</f>
        <v>0</v>
      </c>
      <c r="G178" s="64">
        <f>G179</f>
        <v>0</v>
      </c>
      <c r="H178" s="64">
        <f>H179</f>
        <v>0</v>
      </c>
    </row>
    <row r="179" spans="1:8" ht="49.5" customHeight="1" hidden="1">
      <c r="A179" s="52" t="s">
        <v>181</v>
      </c>
      <c r="B179" s="14" t="s">
        <v>140</v>
      </c>
      <c r="C179" s="14" t="s">
        <v>160</v>
      </c>
      <c r="D179" s="14" t="s">
        <v>477</v>
      </c>
      <c r="E179" s="14" t="s">
        <v>182</v>
      </c>
      <c r="F179" s="64">
        <f>G179+H179</f>
        <v>0</v>
      </c>
      <c r="G179" s="64"/>
      <c r="H179" s="64"/>
    </row>
    <row r="180" spans="1:8" ht="65.25" customHeight="1">
      <c r="A180" s="46" t="s">
        <v>789</v>
      </c>
      <c r="B180" s="28" t="s">
        <v>140</v>
      </c>
      <c r="C180" s="28" t="s">
        <v>160</v>
      </c>
      <c r="D180" s="28" t="s">
        <v>538</v>
      </c>
      <c r="E180" s="28" t="s">
        <v>391</v>
      </c>
      <c r="F180" s="65">
        <f t="shared" si="6"/>
        <v>15</v>
      </c>
      <c r="G180" s="65">
        <f>G181</f>
        <v>15</v>
      </c>
      <c r="H180" s="112"/>
    </row>
    <row r="181" spans="1:8" ht="49.5" customHeight="1">
      <c r="A181" s="52" t="s">
        <v>539</v>
      </c>
      <c r="B181" s="14" t="s">
        <v>140</v>
      </c>
      <c r="C181" s="14" t="s">
        <v>160</v>
      </c>
      <c r="D181" s="14" t="s">
        <v>540</v>
      </c>
      <c r="E181" s="14" t="s">
        <v>149</v>
      </c>
      <c r="F181" s="64">
        <f t="shared" si="6"/>
        <v>15</v>
      </c>
      <c r="G181" s="64">
        <f>G182</f>
        <v>15</v>
      </c>
      <c r="H181" s="64"/>
    </row>
    <row r="182" spans="1:8" ht="18.75" customHeight="1">
      <c r="A182" s="52" t="s">
        <v>541</v>
      </c>
      <c r="B182" s="14" t="s">
        <v>140</v>
      </c>
      <c r="C182" s="14" t="s">
        <v>160</v>
      </c>
      <c r="D182" s="14" t="s">
        <v>542</v>
      </c>
      <c r="E182" s="14" t="s">
        <v>182</v>
      </c>
      <c r="F182" s="64">
        <f t="shared" si="6"/>
        <v>15</v>
      </c>
      <c r="G182" s="64">
        <v>15</v>
      </c>
      <c r="H182" s="64"/>
    </row>
    <row r="183" spans="1:8" s="164" customFormat="1" ht="20.25" customHeight="1" hidden="1">
      <c r="A183" s="62" t="s">
        <v>354</v>
      </c>
      <c r="B183" s="20" t="s">
        <v>142</v>
      </c>
      <c r="C183" s="20" t="s">
        <v>141</v>
      </c>
      <c r="D183" s="20" t="s">
        <v>304</v>
      </c>
      <c r="E183" s="20" t="s">
        <v>391</v>
      </c>
      <c r="F183" s="115">
        <f>G183+H183</f>
        <v>0</v>
      </c>
      <c r="G183" s="115">
        <f>G184</f>
        <v>0</v>
      </c>
      <c r="H183" s="115">
        <f>H184</f>
        <v>0</v>
      </c>
    </row>
    <row r="184" spans="1:8" ht="17.25" customHeight="1" hidden="1">
      <c r="A184" s="27" t="s">
        <v>347</v>
      </c>
      <c r="B184" s="14" t="s">
        <v>142</v>
      </c>
      <c r="C184" s="14" t="s">
        <v>141</v>
      </c>
      <c r="D184" s="14" t="s">
        <v>304</v>
      </c>
      <c r="E184" s="14" t="s">
        <v>391</v>
      </c>
      <c r="F184" s="64">
        <f t="shared" si="6"/>
        <v>0</v>
      </c>
      <c r="G184" s="64">
        <f>G186</f>
        <v>0</v>
      </c>
      <c r="H184" s="64">
        <f>H185</f>
        <v>0</v>
      </c>
    </row>
    <row r="185" spans="1:8" ht="79.5" customHeight="1" hidden="1">
      <c r="A185" s="31" t="s">
        <v>524</v>
      </c>
      <c r="B185" s="14" t="s">
        <v>142</v>
      </c>
      <c r="C185" s="14" t="s">
        <v>141</v>
      </c>
      <c r="D185" s="28" t="s">
        <v>507</v>
      </c>
      <c r="E185" s="28" t="s">
        <v>391</v>
      </c>
      <c r="F185" s="65">
        <f t="shared" si="6"/>
        <v>0</v>
      </c>
      <c r="G185" s="65">
        <f>G187</f>
        <v>0</v>
      </c>
      <c r="H185" s="65">
        <f>H186</f>
        <v>0</v>
      </c>
    </row>
    <row r="186" spans="1:8" ht="48.75" customHeight="1" hidden="1">
      <c r="A186" s="27" t="s">
        <v>355</v>
      </c>
      <c r="B186" s="14" t="s">
        <v>142</v>
      </c>
      <c r="C186" s="14" t="s">
        <v>141</v>
      </c>
      <c r="D186" s="14" t="s">
        <v>503</v>
      </c>
      <c r="E186" s="14" t="s">
        <v>391</v>
      </c>
      <c r="F186" s="64">
        <f t="shared" si="6"/>
        <v>0</v>
      </c>
      <c r="G186" s="64">
        <f>G188</f>
        <v>0</v>
      </c>
      <c r="H186" s="64">
        <f>H187</f>
        <v>0</v>
      </c>
    </row>
    <row r="187" spans="1:8" ht="21" customHeight="1" hidden="1">
      <c r="A187" s="27" t="s">
        <v>191</v>
      </c>
      <c r="B187" s="14" t="s">
        <v>142</v>
      </c>
      <c r="C187" s="14" t="s">
        <v>141</v>
      </c>
      <c r="D187" s="14" t="s">
        <v>503</v>
      </c>
      <c r="E187" s="14" t="s">
        <v>192</v>
      </c>
      <c r="F187" s="64">
        <f t="shared" si="6"/>
        <v>0</v>
      </c>
      <c r="G187" s="64">
        <f>G188</f>
        <v>0</v>
      </c>
      <c r="H187" s="64">
        <f>H188</f>
        <v>0</v>
      </c>
    </row>
    <row r="188" spans="1:8" ht="17.25" customHeight="1" hidden="1">
      <c r="A188" s="27" t="s">
        <v>161</v>
      </c>
      <c r="B188" s="14" t="s">
        <v>142</v>
      </c>
      <c r="C188" s="14" t="s">
        <v>141</v>
      </c>
      <c r="D188" s="14" t="s">
        <v>503</v>
      </c>
      <c r="E188" s="14" t="s">
        <v>356</v>
      </c>
      <c r="F188" s="64">
        <f t="shared" si="6"/>
        <v>0</v>
      </c>
      <c r="G188" s="64">
        <v>0</v>
      </c>
      <c r="H188" s="64">
        <v>0</v>
      </c>
    </row>
    <row r="189" spans="1:8" s="164" customFormat="1" ht="48" customHeight="1">
      <c r="A189" s="62" t="s">
        <v>357</v>
      </c>
      <c r="B189" s="20" t="s">
        <v>147</v>
      </c>
      <c r="C189" s="20" t="s">
        <v>141</v>
      </c>
      <c r="D189" s="20" t="s">
        <v>304</v>
      </c>
      <c r="E189" s="20" t="s">
        <v>391</v>
      </c>
      <c r="F189" s="115">
        <f>G189+H189</f>
        <v>13.99501</v>
      </c>
      <c r="G189" s="115">
        <f>G190</f>
        <v>13.99501</v>
      </c>
      <c r="H189" s="115">
        <f>H190</f>
        <v>0</v>
      </c>
    </row>
    <row r="190" spans="1:8" ht="21" customHeight="1">
      <c r="A190" s="31" t="s">
        <v>939</v>
      </c>
      <c r="B190" s="28" t="s">
        <v>147</v>
      </c>
      <c r="C190" s="28" t="s">
        <v>359</v>
      </c>
      <c r="D190" s="28" t="s">
        <v>304</v>
      </c>
      <c r="E190" s="28" t="s">
        <v>391</v>
      </c>
      <c r="F190" s="65">
        <f t="shared" si="6"/>
        <v>13.99501</v>
      </c>
      <c r="G190" s="65">
        <f>G191+G210</f>
        <v>13.99501</v>
      </c>
      <c r="H190" s="65">
        <f>H191</f>
        <v>0</v>
      </c>
    </row>
    <row r="191" spans="1:8" ht="50.25" customHeight="1" hidden="1">
      <c r="A191" s="27" t="s">
        <v>360</v>
      </c>
      <c r="B191" s="14" t="s">
        <v>147</v>
      </c>
      <c r="C191" s="14" t="s">
        <v>359</v>
      </c>
      <c r="D191" s="14" t="s">
        <v>18</v>
      </c>
      <c r="E191" s="14" t="s">
        <v>391</v>
      </c>
      <c r="F191" s="64">
        <f t="shared" si="6"/>
        <v>0</v>
      </c>
      <c r="G191" s="64">
        <f>G193</f>
        <v>0</v>
      </c>
      <c r="H191" s="64">
        <f>H193</f>
        <v>0</v>
      </c>
    </row>
    <row r="192" spans="1:8" ht="33.75" customHeight="1" hidden="1">
      <c r="A192" s="27" t="s">
        <v>180</v>
      </c>
      <c r="B192" s="14" t="s">
        <v>147</v>
      </c>
      <c r="C192" s="14" t="s">
        <v>359</v>
      </c>
      <c r="D192" s="14" t="s">
        <v>18</v>
      </c>
      <c r="E192" s="14" t="s">
        <v>149</v>
      </c>
      <c r="F192" s="64">
        <f t="shared" si="6"/>
        <v>0</v>
      </c>
      <c r="G192" s="64">
        <f>G193</f>
        <v>0</v>
      </c>
      <c r="H192" s="64"/>
    </row>
    <row r="193" spans="1:8" ht="50.25" customHeight="1" hidden="1">
      <c r="A193" s="52" t="s">
        <v>181</v>
      </c>
      <c r="B193" s="14" t="s">
        <v>147</v>
      </c>
      <c r="C193" s="14" t="s">
        <v>359</v>
      </c>
      <c r="D193" s="14" t="s">
        <v>18</v>
      </c>
      <c r="E193" s="14" t="s">
        <v>182</v>
      </c>
      <c r="F193" s="64">
        <f t="shared" si="6"/>
        <v>0</v>
      </c>
      <c r="G193" s="64">
        <f>100-100</f>
        <v>0</v>
      </c>
      <c r="H193" s="64"/>
    </row>
    <row r="194" spans="1:8" ht="62.25" customHeight="1" hidden="1">
      <c r="A194" s="46" t="s">
        <v>739</v>
      </c>
      <c r="B194" s="14" t="s">
        <v>147</v>
      </c>
      <c r="C194" s="14" t="s">
        <v>359</v>
      </c>
      <c r="D194" s="28" t="s">
        <v>719</v>
      </c>
      <c r="E194" s="28" t="s">
        <v>391</v>
      </c>
      <c r="F194" s="64">
        <f t="shared" si="6"/>
        <v>0</v>
      </c>
      <c r="G194" s="65"/>
      <c r="H194" s="65">
        <f>H195</f>
        <v>0</v>
      </c>
    </row>
    <row r="195" spans="1:8" ht="97.5" customHeight="1" hidden="1">
      <c r="A195" s="27" t="s">
        <v>177</v>
      </c>
      <c r="B195" s="14" t="s">
        <v>147</v>
      </c>
      <c r="C195" s="14" t="s">
        <v>359</v>
      </c>
      <c r="D195" s="14" t="s">
        <v>719</v>
      </c>
      <c r="E195" s="14" t="s">
        <v>145</v>
      </c>
      <c r="F195" s="64">
        <f t="shared" si="6"/>
        <v>0</v>
      </c>
      <c r="G195" s="64"/>
      <c r="H195" s="64">
        <f>H196</f>
        <v>0</v>
      </c>
    </row>
    <row r="196" spans="1:8" ht="37.5" customHeight="1" hidden="1">
      <c r="A196" s="52" t="s">
        <v>179</v>
      </c>
      <c r="B196" s="14" t="s">
        <v>147</v>
      </c>
      <c r="C196" s="14" t="s">
        <v>359</v>
      </c>
      <c r="D196" s="14" t="s">
        <v>719</v>
      </c>
      <c r="E196" s="14" t="s">
        <v>178</v>
      </c>
      <c r="F196" s="64">
        <f t="shared" si="6"/>
        <v>0</v>
      </c>
      <c r="G196" s="64"/>
      <c r="H196" s="64">
        <v>0</v>
      </c>
    </row>
    <row r="197" spans="1:8" ht="79.5" customHeight="1" hidden="1">
      <c r="A197" s="46" t="s">
        <v>736</v>
      </c>
      <c r="B197" s="14" t="s">
        <v>147</v>
      </c>
      <c r="C197" s="14" t="s">
        <v>359</v>
      </c>
      <c r="D197" s="14" t="s">
        <v>720</v>
      </c>
      <c r="E197" s="14" t="s">
        <v>391</v>
      </c>
      <c r="F197" s="64">
        <f t="shared" si="6"/>
        <v>0</v>
      </c>
      <c r="G197" s="64">
        <f>G198+G200</f>
        <v>0</v>
      </c>
      <c r="H197" s="64"/>
    </row>
    <row r="198" spans="1:8" ht="94.5" customHeight="1" hidden="1">
      <c r="A198" s="27" t="s">
        <v>177</v>
      </c>
      <c r="B198" s="14" t="s">
        <v>147</v>
      </c>
      <c r="C198" s="14" t="s">
        <v>359</v>
      </c>
      <c r="D198" s="14" t="s">
        <v>720</v>
      </c>
      <c r="E198" s="14" t="s">
        <v>145</v>
      </c>
      <c r="F198" s="64">
        <f t="shared" si="6"/>
        <v>0</v>
      </c>
      <c r="G198" s="64">
        <f>G199</f>
        <v>0</v>
      </c>
      <c r="H198" s="64"/>
    </row>
    <row r="199" spans="1:8" ht="33" customHeight="1" hidden="1">
      <c r="A199" s="52" t="s">
        <v>179</v>
      </c>
      <c r="B199" s="14" t="s">
        <v>147</v>
      </c>
      <c r="C199" s="14" t="s">
        <v>359</v>
      </c>
      <c r="D199" s="14" t="s">
        <v>720</v>
      </c>
      <c r="E199" s="14" t="s">
        <v>178</v>
      </c>
      <c r="F199" s="64">
        <f t="shared" si="6"/>
        <v>0</v>
      </c>
      <c r="G199" s="64">
        <v>0</v>
      </c>
      <c r="H199" s="64"/>
    </row>
    <row r="200" spans="1:8" ht="37.5" customHeight="1" hidden="1">
      <c r="A200" s="27" t="s">
        <v>180</v>
      </c>
      <c r="B200" s="14" t="s">
        <v>147</v>
      </c>
      <c r="C200" s="14" t="s">
        <v>359</v>
      </c>
      <c r="D200" s="14" t="s">
        <v>720</v>
      </c>
      <c r="E200" s="14" t="s">
        <v>149</v>
      </c>
      <c r="F200" s="64">
        <f t="shared" si="6"/>
        <v>0</v>
      </c>
      <c r="G200" s="64">
        <f>G201</f>
        <v>0</v>
      </c>
      <c r="H200" s="64"/>
    </row>
    <row r="201" spans="1:8" ht="48" customHeight="1" hidden="1">
      <c r="A201" s="52" t="s">
        <v>181</v>
      </c>
      <c r="B201" s="14" t="s">
        <v>147</v>
      </c>
      <c r="C201" s="14" t="s">
        <v>359</v>
      </c>
      <c r="D201" s="14" t="s">
        <v>720</v>
      </c>
      <c r="E201" s="14" t="s">
        <v>182</v>
      </c>
      <c r="F201" s="64">
        <f t="shared" si="6"/>
        <v>0</v>
      </c>
      <c r="G201" s="64">
        <v>0</v>
      </c>
      <c r="H201" s="64"/>
    </row>
    <row r="202" spans="1:8" ht="96" customHeight="1" hidden="1">
      <c r="A202" s="46" t="s">
        <v>737</v>
      </c>
      <c r="B202" s="14" t="s">
        <v>147</v>
      </c>
      <c r="C202" s="14" t="s">
        <v>359</v>
      </c>
      <c r="D202" s="28" t="s">
        <v>738</v>
      </c>
      <c r="E202" s="28" t="s">
        <v>391</v>
      </c>
      <c r="F202" s="64">
        <f t="shared" si="6"/>
        <v>0</v>
      </c>
      <c r="G202" s="65"/>
      <c r="H202" s="65">
        <f>H203</f>
        <v>0</v>
      </c>
    </row>
    <row r="203" spans="1:8" ht="31.5" customHeight="1" hidden="1">
      <c r="A203" s="27" t="s">
        <v>180</v>
      </c>
      <c r="B203" s="14" t="s">
        <v>147</v>
      </c>
      <c r="C203" s="14" t="s">
        <v>359</v>
      </c>
      <c r="D203" s="14" t="s">
        <v>738</v>
      </c>
      <c r="E203" s="14" t="s">
        <v>149</v>
      </c>
      <c r="F203" s="64">
        <f t="shared" si="6"/>
        <v>0</v>
      </c>
      <c r="G203" s="64"/>
      <c r="H203" s="64">
        <f>H204</f>
        <v>0</v>
      </c>
    </row>
    <row r="204" spans="1:8" ht="48" customHeight="1" hidden="1">
      <c r="A204" s="52" t="s">
        <v>181</v>
      </c>
      <c r="B204" s="14" t="s">
        <v>147</v>
      </c>
      <c r="C204" s="14" t="s">
        <v>359</v>
      </c>
      <c r="D204" s="14" t="s">
        <v>738</v>
      </c>
      <c r="E204" s="14" t="s">
        <v>182</v>
      </c>
      <c r="F204" s="64">
        <f t="shared" si="6"/>
        <v>0</v>
      </c>
      <c r="G204" s="64"/>
      <c r="H204" s="64">
        <v>0</v>
      </c>
    </row>
    <row r="205" spans="1:8" s="164" customFormat="1" ht="48" customHeight="1" hidden="1">
      <c r="A205" s="62" t="s">
        <v>357</v>
      </c>
      <c r="B205" s="14" t="s">
        <v>147</v>
      </c>
      <c r="C205" s="14" t="s">
        <v>359</v>
      </c>
      <c r="D205" s="20" t="s">
        <v>304</v>
      </c>
      <c r="E205" s="20" t="s">
        <v>391</v>
      </c>
      <c r="F205" s="64">
        <f t="shared" si="6"/>
        <v>0</v>
      </c>
      <c r="G205" s="115">
        <f>G206</f>
        <v>0</v>
      </c>
      <c r="H205" s="115">
        <f>H206</f>
        <v>0</v>
      </c>
    </row>
    <row r="206" spans="1:8" ht="50.25" customHeight="1" hidden="1">
      <c r="A206" s="27" t="s">
        <v>358</v>
      </c>
      <c r="B206" s="14" t="s">
        <v>147</v>
      </c>
      <c r="C206" s="14" t="s">
        <v>359</v>
      </c>
      <c r="D206" s="14" t="s">
        <v>304</v>
      </c>
      <c r="E206" s="14" t="s">
        <v>391</v>
      </c>
      <c r="F206" s="64">
        <f t="shared" si="6"/>
        <v>0</v>
      </c>
      <c r="G206" s="64">
        <f>G207</f>
        <v>0</v>
      </c>
      <c r="H206" s="64">
        <f>H207</f>
        <v>0</v>
      </c>
    </row>
    <row r="207" spans="1:8" ht="83.25" customHeight="1" hidden="1">
      <c r="A207" s="27" t="s">
        <v>753</v>
      </c>
      <c r="B207" s="14" t="s">
        <v>147</v>
      </c>
      <c r="C207" s="14" t="s">
        <v>359</v>
      </c>
      <c r="D207" s="14" t="s">
        <v>754</v>
      </c>
      <c r="E207" s="14" t="s">
        <v>391</v>
      </c>
      <c r="F207" s="64">
        <f t="shared" si="6"/>
        <v>0</v>
      </c>
      <c r="G207" s="64">
        <f>G209</f>
        <v>0</v>
      </c>
      <c r="H207" s="64">
        <f>H209</f>
        <v>0</v>
      </c>
    </row>
    <row r="208" spans="1:8" ht="33.75" customHeight="1" hidden="1">
      <c r="A208" s="27" t="s">
        <v>180</v>
      </c>
      <c r="B208" s="14" t="s">
        <v>147</v>
      </c>
      <c r="C208" s="14" t="s">
        <v>359</v>
      </c>
      <c r="D208" s="14" t="s">
        <v>754</v>
      </c>
      <c r="E208" s="14" t="s">
        <v>149</v>
      </c>
      <c r="F208" s="64">
        <f t="shared" si="6"/>
        <v>0</v>
      </c>
      <c r="G208" s="64">
        <f>G209</f>
        <v>0</v>
      </c>
      <c r="H208" s="64"/>
    </row>
    <row r="209" spans="1:8" ht="50.25" customHeight="1" hidden="1">
      <c r="A209" s="52" t="s">
        <v>181</v>
      </c>
      <c r="B209" s="14" t="s">
        <v>147</v>
      </c>
      <c r="C209" s="14" t="s">
        <v>359</v>
      </c>
      <c r="D209" s="14" t="s">
        <v>754</v>
      </c>
      <c r="E209" s="14" t="s">
        <v>182</v>
      </c>
      <c r="F209" s="64">
        <f t="shared" si="6"/>
        <v>0</v>
      </c>
      <c r="G209" s="64">
        <v>0</v>
      </c>
      <c r="H209" s="64"/>
    </row>
    <row r="210" spans="1:8" ht="96.75" customHeight="1">
      <c r="A210" s="52" t="s">
        <v>935</v>
      </c>
      <c r="B210" s="14" t="s">
        <v>147</v>
      </c>
      <c r="C210" s="14" t="s">
        <v>359</v>
      </c>
      <c r="D210" s="14" t="s">
        <v>936</v>
      </c>
      <c r="E210" s="14" t="s">
        <v>391</v>
      </c>
      <c r="F210" s="64">
        <f t="shared" si="6"/>
        <v>13.99501</v>
      </c>
      <c r="G210" s="64">
        <f>G211</f>
        <v>13.99501</v>
      </c>
      <c r="H210" s="64"/>
    </row>
    <row r="211" spans="1:8" ht="39" customHeight="1">
      <c r="A211" s="27" t="s">
        <v>180</v>
      </c>
      <c r="B211" s="14" t="s">
        <v>147</v>
      </c>
      <c r="C211" s="14" t="s">
        <v>359</v>
      </c>
      <c r="D211" s="14" t="s">
        <v>936</v>
      </c>
      <c r="E211" s="14" t="s">
        <v>149</v>
      </c>
      <c r="F211" s="64">
        <f t="shared" si="6"/>
        <v>13.99501</v>
      </c>
      <c r="G211" s="64">
        <f>G212</f>
        <v>13.99501</v>
      </c>
      <c r="H211" s="64"/>
    </row>
    <row r="212" spans="1:8" ht="50.25" customHeight="1">
      <c r="A212" s="52" t="s">
        <v>181</v>
      </c>
      <c r="B212" s="14" t="s">
        <v>147</v>
      </c>
      <c r="C212" s="14" t="s">
        <v>359</v>
      </c>
      <c r="D212" s="14" t="s">
        <v>936</v>
      </c>
      <c r="E212" s="14" t="s">
        <v>182</v>
      </c>
      <c r="F212" s="64">
        <f t="shared" si="6"/>
        <v>13.99501</v>
      </c>
      <c r="G212" s="64">
        <v>13.99501</v>
      </c>
      <c r="H212" s="64"/>
    </row>
    <row r="213" spans="1:10" s="164" customFormat="1" ht="16.5" customHeight="1">
      <c r="A213" s="62" t="s">
        <v>361</v>
      </c>
      <c r="B213" s="20" t="s">
        <v>151</v>
      </c>
      <c r="C213" s="20" t="s">
        <v>141</v>
      </c>
      <c r="D213" s="20" t="s">
        <v>304</v>
      </c>
      <c r="E213" s="20" t="s">
        <v>391</v>
      </c>
      <c r="F213" s="115">
        <f t="shared" si="6"/>
        <v>29559.9063</v>
      </c>
      <c r="G213" s="115">
        <f>G218+G231+G214+G252</f>
        <v>26290.60829</v>
      </c>
      <c r="H213" s="115">
        <f>H218+H231+H214+H257</f>
        <v>3269.29801</v>
      </c>
      <c r="J213" s="185"/>
    </row>
    <row r="214" spans="1:8" s="148" customFormat="1" ht="16.5" customHeight="1">
      <c r="A214" s="31" t="s">
        <v>225</v>
      </c>
      <c r="B214" s="28" t="s">
        <v>151</v>
      </c>
      <c r="C214" s="28" t="s">
        <v>371</v>
      </c>
      <c r="D214" s="28" t="s">
        <v>304</v>
      </c>
      <c r="E214" s="28" t="s">
        <v>391</v>
      </c>
      <c r="F214" s="65">
        <f t="shared" si="6"/>
        <v>265.91093</v>
      </c>
      <c r="G214" s="65">
        <f>G215</f>
        <v>0</v>
      </c>
      <c r="H214" s="65">
        <f>H215</f>
        <v>265.91093</v>
      </c>
    </row>
    <row r="215" spans="1:8" ht="107.25" customHeight="1">
      <c r="A215" s="31" t="s">
        <v>685</v>
      </c>
      <c r="B215" s="28" t="s">
        <v>151</v>
      </c>
      <c r="C215" s="28" t="s">
        <v>371</v>
      </c>
      <c r="D215" s="28" t="s">
        <v>37</v>
      </c>
      <c r="E215" s="28" t="s">
        <v>391</v>
      </c>
      <c r="F215" s="65">
        <f t="shared" si="6"/>
        <v>265.91093</v>
      </c>
      <c r="G215" s="65"/>
      <c r="H215" s="65">
        <f>H216</f>
        <v>265.91093</v>
      </c>
    </row>
    <row r="216" spans="1:8" ht="35.25" customHeight="1">
      <c r="A216" s="27" t="s">
        <v>180</v>
      </c>
      <c r="B216" s="14" t="s">
        <v>151</v>
      </c>
      <c r="C216" s="14" t="s">
        <v>371</v>
      </c>
      <c r="D216" s="14" t="s">
        <v>37</v>
      </c>
      <c r="E216" s="14" t="s">
        <v>149</v>
      </c>
      <c r="F216" s="64">
        <f t="shared" si="6"/>
        <v>265.91093</v>
      </c>
      <c r="G216" s="64"/>
      <c r="H216" s="64">
        <f>H217</f>
        <v>265.91093</v>
      </c>
    </row>
    <row r="217" spans="1:8" ht="48" customHeight="1">
      <c r="A217" s="52" t="s">
        <v>181</v>
      </c>
      <c r="B217" s="14" t="s">
        <v>151</v>
      </c>
      <c r="C217" s="14" t="s">
        <v>371</v>
      </c>
      <c r="D217" s="14" t="s">
        <v>37</v>
      </c>
      <c r="E217" s="14" t="s">
        <v>182</v>
      </c>
      <c r="F217" s="64">
        <f t="shared" si="6"/>
        <v>265.91093</v>
      </c>
      <c r="G217" s="64"/>
      <c r="H217" s="64">
        <v>265.91093</v>
      </c>
    </row>
    <row r="218" spans="1:8" s="148" customFormat="1" ht="17.25" customHeight="1">
      <c r="A218" s="31" t="s">
        <v>398</v>
      </c>
      <c r="B218" s="28" t="s">
        <v>151</v>
      </c>
      <c r="C218" s="28" t="s">
        <v>362</v>
      </c>
      <c r="D218" s="28" t="s">
        <v>304</v>
      </c>
      <c r="E218" s="28" t="s">
        <v>391</v>
      </c>
      <c r="F218" s="65">
        <f t="shared" si="6"/>
        <v>2227.0530800000006</v>
      </c>
      <c r="G218" s="65">
        <f>G219</f>
        <v>2223.6660000000006</v>
      </c>
      <c r="H218" s="65">
        <f>H220+H228</f>
        <v>3.38708</v>
      </c>
    </row>
    <row r="219" spans="1:8" s="148" customFormat="1" ht="96" customHeight="1">
      <c r="A219" s="31" t="s">
        <v>469</v>
      </c>
      <c r="B219" s="28" t="s">
        <v>151</v>
      </c>
      <c r="C219" s="28" t="s">
        <v>362</v>
      </c>
      <c r="D219" s="28" t="s">
        <v>450</v>
      </c>
      <c r="E219" s="28" t="s">
        <v>391</v>
      </c>
      <c r="F219" s="65">
        <f t="shared" si="6"/>
        <v>2223.6660000000006</v>
      </c>
      <c r="G219" s="65">
        <f>G220+G224</f>
        <v>2223.6660000000006</v>
      </c>
      <c r="H219" s="65"/>
    </row>
    <row r="220" spans="1:8" ht="18.75" customHeight="1">
      <c r="A220" s="27" t="s">
        <v>399</v>
      </c>
      <c r="B220" s="14" t="s">
        <v>151</v>
      </c>
      <c r="C220" s="14" t="s">
        <v>362</v>
      </c>
      <c r="D220" s="14" t="s">
        <v>470</v>
      </c>
      <c r="E220" s="14" t="s">
        <v>391</v>
      </c>
      <c r="F220" s="64">
        <f t="shared" si="6"/>
        <v>2223.6660000000006</v>
      </c>
      <c r="G220" s="64">
        <f>G221+G226</f>
        <v>2223.6660000000006</v>
      </c>
      <c r="H220" s="64">
        <f>H221</f>
        <v>0</v>
      </c>
    </row>
    <row r="221" spans="1:8" ht="68.25" customHeight="1">
      <c r="A221" s="27" t="s">
        <v>38</v>
      </c>
      <c r="B221" s="14" t="s">
        <v>151</v>
      </c>
      <c r="C221" s="14" t="s">
        <v>362</v>
      </c>
      <c r="D221" s="14" t="s">
        <v>470</v>
      </c>
      <c r="E221" s="14" t="s">
        <v>391</v>
      </c>
      <c r="F221" s="64">
        <f t="shared" si="6"/>
        <v>2214.7410000000004</v>
      </c>
      <c r="G221" s="64">
        <f>G222</f>
        <v>2214.7410000000004</v>
      </c>
      <c r="H221" s="64">
        <f>H223</f>
        <v>0</v>
      </c>
    </row>
    <row r="222" spans="1:8" ht="18.75" customHeight="1">
      <c r="A222" s="27" t="s">
        <v>185</v>
      </c>
      <c r="B222" s="14" t="s">
        <v>151</v>
      </c>
      <c r="C222" s="14" t="s">
        <v>362</v>
      </c>
      <c r="D222" s="14" t="s">
        <v>470</v>
      </c>
      <c r="E222" s="14" t="s">
        <v>186</v>
      </c>
      <c r="F222" s="64">
        <f t="shared" si="6"/>
        <v>2214.7410000000004</v>
      </c>
      <c r="G222" s="64">
        <f>G223</f>
        <v>2214.7410000000004</v>
      </c>
      <c r="H222" s="64"/>
    </row>
    <row r="223" spans="1:8" ht="49.5" customHeight="1">
      <c r="A223" s="27" t="s">
        <v>680</v>
      </c>
      <c r="B223" s="14" t="s">
        <v>151</v>
      </c>
      <c r="C223" s="14" t="s">
        <v>362</v>
      </c>
      <c r="D223" s="14" t="s">
        <v>470</v>
      </c>
      <c r="E223" s="14" t="s">
        <v>369</v>
      </c>
      <c r="F223" s="64">
        <f t="shared" si="6"/>
        <v>2214.7410000000004</v>
      </c>
      <c r="G223" s="64">
        <f>2300-3.825-5.1-76.334</f>
        <v>2214.7410000000004</v>
      </c>
      <c r="H223" s="64"/>
    </row>
    <row r="224" spans="1:8" ht="19.5" customHeight="1" hidden="1">
      <c r="A224" s="52" t="s">
        <v>191</v>
      </c>
      <c r="B224" s="14" t="s">
        <v>151</v>
      </c>
      <c r="C224" s="14" t="s">
        <v>362</v>
      </c>
      <c r="D224" s="14" t="s">
        <v>470</v>
      </c>
      <c r="E224" s="14" t="s">
        <v>192</v>
      </c>
      <c r="F224" s="64">
        <f t="shared" si="6"/>
        <v>0</v>
      </c>
      <c r="G224" s="64">
        <f>G225</f>
        <v>0</v>
      </c>
      <c r="H224" s="64"/>
    </row>
    <row r="225" spans="1:8" ht="18" customHeight="1" hidden="1">
      <c r="A225" s="52" t="s">
        <v>286</v>
      </c>
      <c r="B225" s="14" t="s">
        <v>151</v>
      </c>
      <c r="C225" s="14" t="s">
        <v>362</v>
      </c>
      <c r="D225" s="14" t="s">
        <v>470</v>
      </c>
      <c r="E225" s="14" t="s">
        <v>435</v>
      </c>
      <c r="F225" s="64">
        <f t="shared" si="6"/>
        <v>0</v>
      </c>
      <c r="G225" s="64">
        <v>0</v>
      </c>
      <c r="H225" s="64"/>
    </row>
    <row r="226" spans="1:8" ht="30.75" customHeight="1">
      <c r="A226" s="27" t="s">
        <v>180</v>
      </c>
      <c r="B226" s="14" t="s">
        <v>151</v>
      </c>
      <c r="C226" s="14" t="s">
        <v>362</v>
      </c>
      <c r="D226" s="14" t="s">
        <v>470</v>
      </c>
      <c r="E226" s="14" t="s">
        <v>149</v>
      </c>
      <c r="F226" s="64">
        <f>G226</f>
        <v>8.925</v>
      </c>
      <c r="G226" s="64">
        <f>G227</f>
        <v>8.925</v>
      </c>
      <c r="H226" s="64"/>
    </row>
    <row r="227" spans="1:8" ht="50.25" customHeight="1">
      <c r="A227" s="52" t="s">
        <v>181</v>
      </c>
      <c r="B227" s="14" t="s">
        <v>151</v>
      </c>
      <c r="C227" s="14" t="s">
        <v>362</v>
      </c>
      <c r="D227" s="14" t="s">
        <v>470</v>
      </c>
      <c r="E227" s="14" t="s">
        <v>182</v>
      </c>
      <c r="F227" s="64">
        <f>G227</f>
        <v>8.925</v>
      </c>
      <c r="G227" s="64">
        <f>3.825+5.1</f>
        <v>8.925</v>
      </c>
      <c r="H227" s="64"/>
    </row>
    <row r="228" spans="1:8" ht="144" customHeight="1">
      <c r="A228" s="46" t="s">
        <v>543</v>
      </c>
      <c r="B228" s="28" t="s">
        <v>151</v>
      </c>
      <c r="C228" s="28" t="s">
        <v>362</v>
      </c>
      <c r="D228" s="28" t="s">
        <v>304</v>
      </c>
      <c r="E228" s="28" t="s">
        <v>391</v>
      </c>
      <c r="F228" s="65">
        <f>G228+H228</f>
        <v>3.38708</v>
      </c>
      <c r="G228" s="65"/>
      <c r="H228" s="65">
        <f>H229</f>
        <v>3.38708</v>
      </c>
    </row>
    <row r="229" spans="1:8" ht="36.75" customHeight="1">
      <c r="A229" s="27" t="s">
        <v>180</v>
      </c>
      <c r="B229" s="14" t="s">
        <v>151</v>
      </c>
      <c r="C229" s="14" t="s">
        <v>362</v>
      </c>
      <c r="D229" s="14" t="s">
        <v>544</v>
      </c>
      <c r="E229" s="14" t="s">
        <v>149</v>
      </c>
      <c r="F229" s="64">
        <f>G229+H229</f>
        <v>3.38708</v>
      </c>
      <c r="G229" s="64"/>
      <c r="H229" s="64">
        <f>H230</f>
        <v>3.38708</v>
      </c>
    </row>
    <row r="230" spans="1:8" ht="33.75" customHeight="1">
      <c r="A230" s="52" t="s">
        <v>181</v>
      </c>
      <c r="B230" s="14" t="s">
        <v>151</v>
      </c>
      <c r="C230" s="14" t="s">
        <v>362</v>
      </c>
      <c r="D230" s="14" t="s">
        <v>544</v>
      </c>
      <c r="E230" s="14" t="s">
        <v>182</v>
      </c>
      <c r="F230" s="64">
        <f>G230+H230</f>
        <v>3.38708</v>
      </c>
      <c r="G230" s="64"/>
      <c r="H230" s="64">
        <v>3.38708</v>
      </c>
    </row>
    <row r="231" spans="1:8" s="148" customFormat="1" ht="17.25" customHeight="1">
      <c r="A231" s="31" t="s">
        <v>363</v>
      </c>
      <c r="B231" s="28" t="s">
        <v>151</v>
      </c>
      <c r="C231" s="28" t="s">
        <v>359</v>
      </c>
      <c r="D231" s="28" t="s">
        <v>304</v>
      </c>
      <c r="E231" s="28" t="s">
        <v>391</v>
      </c>
      <c r="F231" s="65">
        <f t="shared" si="6"/>
        <v>27066.94229</v>
      </c>
      <c r="G231" s="65">
        <f>G232+G245</f>
        <v>24066.94229</v>
      </c>
      <c r="H231" s="65">
        <f>H232</f>
        <v>3000</v>
      </c>
    </row>
    <row r="232" spans="1:9" s="148" customFormat="1" ht="94.5" customHeight="1">
      <c r="A232" s="31" t="s">
        <v>469</v>
      </c>
      <c r="B232" s="28" t="s">
        <v>151</v>
      </c>
      <c r="C232" s="28" t="s">
        <v>359</v>
      </c>
      <c r="D232" s="28" t="s">
        <v>450</v>
      </c>
      <c r="E232" s="28" t="s">
        <v>391</v>
      </c>
      <c r="F232" s="65">
        <f t="shared" si="6"/>
        <v>26946.48429</v>
      </c>
      <c r="G232" s="65">
        <f>G233+G236+G240</f>
        <v>23946.48429</v>
      </c>
      <c r="H232" s="65">
        <f>H233+H240</f>
        <v>3000</v>
      </c>
      <c r="I232" s="154"/>
    </row>
    <row r="233" spans="1:9" ht="33.75" customHeight="1">
      <c r="A233" s="27" t="s">
        <v>364</v>
      </c>
      <c r="B233" s="14" t="s">
        <v>151</v>
      </c>
      <c r="C233" s="14" t="s">
        <v>359</v>
      </c>
      <c r="D233" s="14" t="s">
        <v>472</v>
      </c>
      <c r="E233" s="14" t="s">
        <v>391</v>
      </c>
      <c r="F233" s="64">
        <f aca="true" t="shared" si="7" ref="F233:F251">G233</f>
        <v>14490.181260000001</v>
      </c>
      <c r="G233" s="64">
        <f>G234</f>
        <v>14490.181260000001</v>
      </c>
      <c r="H233" s="64">
        <f>H235</f>
        <v>0</v>
      </c>
      <c r="I233" s="149"/>
    </row>
    <row r="234" spans="1:8" ht="35.25" customHeight="1">
      <c r="A234" s="27" t="s">
        <v>180</v>
      </c>
      <c r="B234" s="14" t="s">
        <v>151</v>
      </c>
      <c r="C234" s="14" t="s">
        <v>359</v>
      </c>
      <c r="D234" s="14" t="s">
        <v>472</v>
      </c>
      <c r="E234" s="14" t="s">
        <v>149</v>
      </c>
      <c r="F234" s="64">
        <f t="shared" si="7"/>
        <v>14490.181260000001</v>
      </c>
      <c r="G234" s="64">
        <f>G235</f>
        <v>14490.181260000001</v>
      </c>
      <c r="H234" s="64"/>
    </row>
    <row r="235" spans="1:8" ht="47.25" customHeight="1">
      <c r="A235" s="52" t="s">
        <v>181</v>
      </c>
      <c r="B235" s="14" t="s">
        <v>151</v>
      </c>
      <c r="C235" s="14" t="s">
        <v>359</v>
      </c>
      <c r="D235" s="14" t="s">
        <v>472</v>
      </c>
      <c r="E235" s="14" t="s">
        <v>182</v>
      </c>
      <c r="F235" s="64">
        <f t="shared" si="7"/>
        <v>14490.181260000001</v>
      </c>
      <c r="G235" s="64">
        <f>5217-30.30303+9986.48429+161.18502-282-562.18502</f>
        <v>14490.181260000001</v>
      </c>
      <c r="H235" s="64"/>
    </row>
    <row r="236" spans="1:8" ht="22.5" customHeight="1">
      <c r="A236" s="52" t="s">
        <v>191</v>
      </c>
      <c r="B236" s="14" t="s">
        <v>151</v>
      </c>
      <c r="C236" s="14" t="s">
        <v>359</v>
      </c>
      <c r="D236" s="14" t="s">
        <v>471</v>
      </c>
      <c r="E236" s="14" t="s">
        <v>192</v>
      </c>
      <c r="F236" s="64">
        <f t="shared" si="7"/>
        <v>9426</v>
      </c>
      <c r="G236" s="64">
        <f>G237+G238+G239</f>
        <v>9426</v>
      </c>
      <c r="H236" s="64"/>
    </row>
    <row r="237" spans="1:8" ht="15.75" customHeight="1">
      <c r="A237" s="52" t="s">
        <v>286</v>
      </c>
      <c r="B237" s="14" t="s">
        <v>151</v>
      </c>
      <c r="C237" s="14" t="s">
        <v>359</v>
      </c>
      <c r="D237" s="14" t="s">
        <v>471</v>
      </c>
      <c r="E237" s="14" t="s">
        <v>435</v>
      </c>
      <c r="F237" s="64">
        <f t="shared" si="7"/>
        <v>9426</v>
      </c>
      <c r="G237" s="64">
        <f>9542-161.18502-517+562.18502</f>
        <v>9426</v>
      </c>
      <c r="H237" s="150"/>
    </row>
    <row r="238" spans="1:8" ht="93" hidden="1">
      <c r="A238" s="52" t="s">
        <v>490</v>
      </c>
      <c r="B238" s="14" t="s">
        <v>151</v>
      </c>
      <c r="C238" s="14" t="s">
        <v>359</v>
      </c>
      <c r="D238" s="14" t="s">
        <v>491</v>
      </c>
      <c r="E238" s="14" t="s">
        <v>435</v>
      </c>
      <c r="F238" s="64">
        <f>G238</f>
        <v>0</v>
      </c>
      <c r="G238" s="64"/>
      <c r="H238" s="150"/>
    </row>
    <row r="239" spans="1:8" ht="108.75" hidden="1">
      <c r="A239" s="52" t="s">
        <v>494</v>
      </c>
      <c r="B239" s="14" t="s">
        <v>151</v>
      </c>
      <c r="C239" s="14" t="s">
        <v>359</v>
      </c>
      <c r="D239" s="14" t="s">
        <v>495</v>
      </c>
      <c r="E239" s="14" t="s">
        <v>435</v>
      </c>
      <c r="F239" s="64">
        <f>G239</f>
        <v>0</v>
      </c>
      <c r="G239" s="64"/>
      <c r="H239" s="150"/>
    </row>
    <row r="240" spans="1:8" ht="35.25" customHeight="1">
      <c r="A240" s="46" t="s">
        <v>693</v>
      </c>
      <c r="B240" s="28" t="s">
        <v>151</v>
      </c>
      <c r="C240" s="28" t="s">
        <v>359</v>
      </c>
      <c r="D240" s="28" t="s">
        <v>450</v>
      </c>
      <c r="E240" s="28" t="s">
        <v>391</v>
      </c>
      <c r="F240" s="65">
        <f>G240+H240</f>
        <v>3030.30303</v>
      </c>
      <c r="G240" s="65">
        <f>G242+G244</f>
        <v>30.30303</v>
      </c>
      <c r="H240" s="65">
        <f>H242+H244</f>
        <v>3000</v>
      </c>
    </row>
    <row r="241" spans="1:8" ht="35.25" customHeight="1">
      <c r="A241" s="27" t="s">
        <v>180</v>
      </c>
      <c r="B241" s="14" t="s">
        <v>151</v>
      </c>
      <c r="C241" s="14" t="s">
        <v>359</v>
      </c>
      <c r="D241" s="14" t="s">
        <v>687</v>
      </c>
      <c r="E241" s="14" t="s">
        <v>149</v>
      </c>
      <c r="F241" s="64">
        <f>G241+H241</f>
        <v>3000</v>
      </c>
      <c r="G241" s="64"/>
      <c r="H241" s="64">
        <f>H242</f>
        <v>3000</v>
      </c>
    </row>
    <row r="242" spans="1:8" ht="46.5">
      <c r="A242" s="52" t="s">
        <v>181</v>
      </c>
      <c r="B242" s="14" t="s">
        <v>151</v>
      </c>
      <c r="C242" s="14" t="s">
        <v>359</v>
      </c>
      <c r="D242" s="14" t="s">
        <v>687</v>
      </c>
      <c r="E242" s="14" t="s">
        <v>182</v>
      </c>
      <c r="F242" s="64">
        <f>G242+H242</f>
        <v>3000</v>
      </c>
      <c r="G242" s="64"/>
      <c r="H242" s="64">
        <v>3000</v>
      </c>
    </row>
    <row r="243" spans="1:8" ht="30.75">
      <c r="A243" s="27" t="s">
        <v>180</v>
      </c>
      <c r="B243" s="14" t="s">
        <v>151</v>
      </c>
      <c r="C243" s="14" t="s">
        <v>359</v>
      </c>
      <c r="D243" s="14" t="s">
        <v>712</v>
      </c>
      <c r="E243" s="14" t="s">
        <v>149</v>
      </c>
      <c r="F243" s="64">
        <f>G243</f>
        <v>30.30303</v>
      </c>
      <c r="G243" s="64">
        <f>G244</f>
        <v>30.30303</v>
      </c>
      <c r="H243" s="64"/>
    </row>
    <row r="244" spans="1:8" ht="46.5">
      <c r="A244" s="52" t="s">
        <v>181</v>
      </c>
      <c r="B244" s="14" t="s">
        <v>151</v>
      </c>
      <c r="C244" s="14" t="s">
        <v>359</v>
      </c>
      <c r="D244" s="14" t="s">
        <v>712</v>
      </c>
      <c r="E244" s="14" t="s">
        <v>182</v>
      </c>
      <c r="F244" s="64">
        <f>G244</f>
        <v>30.30303</v>
      </c>
      <c r="G244" s="64">
        <v>30.30303</v>
      </c>
      <c r="H244" s="150"/>
    </row>
    <row r="245" spans="1:8" ht="30.75">
      <c r="A245" s="46" t="s">
        <v>143</v>
      </c>
      <c r="B245" s="28" t="s">
        <v>151</v>
      </c>
      <c r="C245" s="28" t="s">
        <v>359</v>
      </c>
      <c r="D245" s="28" t="s">
        <v>8</v>
      </c>
      <c r="E245" s="28" t="s">
        <v>391</v>
      </c>
      <c r="F245" s="65">
        <f t="shared" si="7"/>
        <v>120.458</v>
      </c>
      <c r="G245" s="65">
        <f>G246</f>
        <v>120.458</v>
      </c>
      <c r="H245" s="151"/>
    </row>
    <row r="246" spans="1:8" ht="34.5" customHeight="1">
      <c r="A246" s="52" t="s">
        <v>144</v>
      </c>
      <c r="B246" s="14" t="s">
        <v>151</v>
      </c>
      <c r="C246" s="14" t="s">
        <v>359</v>
      </c>
      <c r="D246" s="14" t="s">
        <v>9</v>
      </c>
      <c r="E246" s="14" t="s">
        <v>391</v>
      </c>
      <c r="F246" s="64">
        <f t="shared" si="7"/>
        <v>120.458</v>
      </c>
      <c r="G246" s="64">
        <f>G247</f>
        <v>120.458</v>
      </c>
      <c r="H246" s="150"/>
    </row>
    <row r="247" spans="1:8" ht="20.25" customHeight="1">
      <c r="A247" s="27" t="s">
        <v>545</v>
      </c>
      <c r="B247" s="14" t="s">
        <v>151</v>
      </c>
      <c r="C247" s="14" t="s">
        <v>359</v>
      </c>
      <c r="D247" s="6" t="s">
        <v>546</v>
      </c>
      <c r="E247" s="14" t="s">
        <v>391</v>
      </c>
      <c r="F247" s="64">
        <f t="shared" si="7"/>
        <v>120.458</v>
      </c>
      <c r="G247" s="64">
        <f>G248+G250</f>
        <v>120.458</v>
      </c>
      <c r="H247" s="150"/>
    </row>
    <row r="248" spans="1:9" ht="24" customHeight="1" hidden="1">
      <c r="A248" s="27" t="s">
        <v>180</v>
      </c>
      <c r="B248" s="14" t="s">
        <v>151</v>
      </c>
      <c r="C248" s="14" t="s">
        <v>359</v>
      </c>
      <c r="D248" s="6" t="s">
        <v>546</v>
      </c>
      <c r="E248" s="14" t="s">
        <v>149</v>
      </c>
      <c r="F248" s="64">
        <f t="shared" si="7"/>
        <v>0</v>
      </c>
      <c r="G248" s="64">
        <f>G249</f>
        <v>0</v>
      </c>
      <c r="H248" s="150"/>
      <c r="I248" s="153"/>
    </row>
    <row r="249" spans="1:9" ht="29.25" customHeight="1" hidden="1">
      <c r="A249" s="52" t="s">
        <v>181</v>
      </c>
      <c r="B249" s="14" t="s">
        <v>151</v>
      </c>
      <c r="C249" s="14" t="s">
        <v>359</v>
      </c>
      <c r="D249" s="6" t="s">
        <v>546</v>
      </c>
      <c r="E249" s="14" t="s">
        <v>182</v>
      </c>
      <c r="F249" s="64">
        <f t="shared" si="7"/>
        <v>0</v>
      </c>
      <c r="G249" s="64">
        <v>0</v>
      </c>
      <c r="H249" s="150"/>
      <c r="I249" s="153"/>
    </row>
    <row r="250" spans="1:9" ht="22.5" customHeight="1">
      <c r="A250" s="27" t="s">
        <v>185</v>
      </c>
      <c r="B250" s="14" t="s">
        <v>151</v>
      </c>
      <c r="C250" s="14" t="s">
        <v>359</v>
      </c>
      <c r="D250" s="6" t="s">
        <v>546</v>
      </c>
      <c r="E250" s="14" t="s">
        <v>186</v>
      </c>
      <c r="F250" s="64">
        <f t="shared" si="7"/>
        <v>120.458</v>
      </c>
      <c r="G250" s="64">
        <f>G251</f>
        <v>120.458</v>
      </c>
      <c r="H250" s="150"/>
      <c r="I250" s="153"/>
    </row>
    <row r="251" spans="1:9" ht="19.5" customHeight="1">
      <c r="A251" s="60" t="s">
        <v>183</v>
      </c>
      <c r="B251" s="14" t="s">
        <v>151</v>
      </c>
      <c r="C251" s="14" t="s">
        <v>359</v>
      </c>
      <c r="D251" s="6" t="s">
        <v>546</v>
      </c>
      <c r="E251" s="14" t="s">
        <v>184</v>
      </c>
      <c r="F251" s="64">
        <f t="shared" si="7"/>
        <v>120.458</v>
      </c>
      <c r="G251" s="64">
        <f>80.3+40.158</f>
        <v>120.458</v>
      </c>
      <c r="H251" s="150"/>
      <c r="I251" s="153"/>
    </row>
    <row r="252" spans="1:8" ht="30.75" hidden="1">
      <c r="A252" s="46" t="s">
        <v>343</v>
      </c>
      <c r="B252" s="28" t="s">
        <v>151</v>
      </c>
      <c r="C252" s="28" t="s">
        <v>365</v>
      </c>
      <c r="D252" s="28" t="s">
        <v>304</v>
      </c>
      <c r="E252" s="28" t="s">
        <v>391</v>
      </c>
      <c r="F252" s="65">
        <f>G252+H252</f>
        <v>0</v>
      </c>
      <c r="G252" s="65">
        <f>G253</f>
        <v>0</v>
      </c>
      <c r="H252" s="137">
        <f>H253</f>
        <v>0</v>
      </c>
    </row>
    <row r="253" spans="1:8" ht="48.75" customHeight="1" hidden="1">
      <c r="A253" s="31" t="s">
        <v>447</v>
      </c>
      <c r="B253" s="28" t="s">
        <v>151</v>
      </c>
      <c r="C253" s="28" t="s">
        <v>365</v>
      </c>
      <c r="D253" s="28" t="s">
        <v>448</v>
      </c>
      <c r="E253" s="28" t="s">
        <v>391</v>
      </c>
      <c r="F253" s="65">
        <f t="shared" si="6"/>
        <v>0</v>
      </c>
      <c r="G253" s="65">
        <f>G254</f>
        <v>0</v>
      </c>
      <c r="H253" s="65">
        <f>H254</f>
        <v>0</v>
      </c>
    </row>
    <row r="254" spans="1:8" ht="113.25" customHeight="1" hidden="1">
      <c r="A254" s="27" t="s">
        <v>367</v>
      </c>
      <c r="B254" s="14" t="s">
        <v>151</v>
      </c>
      <c r="C254" s="14" t="s">
        <v>365</v>
      </c>
      <c r="D254" s="14" t="s">
        <v>449</v>
      </c>
      <c r="E254" s="14" t="s">
        <v>391</v>
      </c>
      <c r="F254" s="64">
        <f t="shared" si="6"/>
        <v>0</v>
      </c>
      <c r="G254" s="64">
        <f>G255</f>
        <v>0</v>
      </c>
      <c r="H254" s="64">
        <f>H256</f>
        <v>0</v>
      </c>
    </row>
    <row r="255" spans="1:8" ht="18.75" customHeight="1" hidden="1">
      <c r="A255" s="27" t="s">
        <v>185</v>
      </c>
      <c r="B255" s="14" t="s">
        <v>151</v>
      </c>
      <c r="C255" s="14" t="s">
        <v>365</v>
      </c>
      <c r="D255" s="14" t="s">
        <v>449</v>
      </c>
      <c r="E255" s="14" t="s">
        <v>186</v>
      </c>
      <c r="F255" s="64">
        <f t="shared" si="6"/>
        <v>0</v>
      </c>
      <c r="G255" s="64">
        <f>G256</f>
        <v>0</v>
      </c>
      <c r="H255" s="64"/>
    </row>
    <row r="256" spans="1:8" ht="62.25" customHeight="1" hidden="1">
      <c r="A256" s="27" t="s">
        <v>368</v>
      </c>
      <c r="B256" s="14" t="s">
        <v>151</v>
      </c>
      <c r="C256" s="14" t="s">
        <v>365</v>
      </c>
      <c r="D256" s="14" t="s">
        <v>449</v>
      </c>
      <c r="E256" s="14" t="s">
        <v>369</v>
      </c>
      <c r="F256" s="64">
        <f t="shared" si="6"/>
        <v>0</v>
      </c>
      <c r="G256" s="64">
        <v>0</v>
      </c>
      <c r="H256" s="64"/>
    </row>
    <row r="257" spans="1:8" ht="110.25" customHeight="1" hidden="1">
      <c r="A257" s="31"/>
      <c r="B257" s="28"/>
      <c r="C257" s="28"/>
      <c r="D257" s="28"/>
      <c r="E257" s="28"/>
      <c r="F257" s="65"/>
      <c r="G257" s="65"/>
      <c r="H257" s="65"/>
    </row>
    <row r="258" spans="1:8" ht="24" customHeight="1" hidden="1">
      <c r="A258" s="52"/>
      <c r="B258" s="14"/>
      <c r="C258" s="14"/>
      <c r="D258" s="14"/>
      <c r="E258" s="14"/>
      <c r="F258" s="64"/>
      <c r="G258" s="64"/>
      <c r="H258" s="64"/>
    </row>
    <row r="259" spans="1:8" ht="25.5" customHeight="1" hidden="1">
      <c r="A259" s="52"/>
      <c r="B259" s="14"/>
      <c r="C259" s="14"/>
      <c r="D259" s="14"/>
      <c r="E259" s="14"/>
      <c r="F259" s="64"/>
      <c r="G259" s="64"/>
      <c r="H259" s="64"/>
    </row>
    <row r="260" spans="1:10" s="164" customFormat="1" ht="32.25" customHeight="1">
      <c r="A260" s="62" t="s">
        <v>370</v>
      </c>
      <c r="B260" s="20" t="s">
        <v>371</v>
      </c>
      <c r="C260" s="20" t="s">
        <v>141</v>
      </c>
      <c r="D260" s="20" t="s">
        <v>304</v>
      </c>
      <c r="E260" s="20" t="s">
        <v>391</v>
      </c>
      <c r="F260" s="115">
        <f>G260+H260</f>
        <v>10235.418259999999</v>
      </c>
      <c r="G260" s="115">
        <f>G261+G294+G285</f>
        <v>7459.7919999999995</v>
      </c>
      <c r="H260" s="115">
        <f>H261+H294+H285</f>
        <v>2775.62626</v>
      </c>
      <c r="J260" s="185"/>
    </row>
    <row r="261" spans="1:8" s="148" customFormat="1" ht="16.5" customHeight="1">
      <c r="A261" s="31" t="s">
        <v>344</v>
      </c>
      <c r="B261" s="28" t="s">
        <v>371</v>
      </c>
      <c r="C261" s="28" t="s">
        <v>142</v>
      </c>
      <c r="D261" s="28" t="s">
        <v>304</v>
      </c>
      <c r="E261" s="28" t="s">
        <v>391</v>
      </c>
      <c r="F261" s="65">
        <f t="shared" si="6"/>
        <v>4076.3310199999996</v>
      </c>
      <c r="G261" s="65">
        <f>G262+G269+G272+G277+G282</f>
        <v>1302.3999999999999</v>
      </c>
      <c r="H261" s="65">
        <f>H262+H272</f>
        <v>2773.93102</v>
      </c>
    </row>
    <row r="262" spans="1:8" ht="17.25" customHeight="1">
      <c r="A262" s="27" t="s">
        <v>345</v>
      </c>
      <c r="B262" s="14" t="s">
        <v>371</v>
      </c>
      <c r="C262" s="14" t="s">
        <v>142</v>
      </c>
      <c r="D262" s="14" t="s">
        <v>21</v>
      </c>
      <c r="E262" s="14" t="s">
        <v>391</v>
      </c>
      <c r="F262" s="64">
        <f t="shared" si="6"/>
        <v>1090.8</v>
      </c>
      <c r="G262" s="64">
        <f>G263+G266</f>
        <v>1090.8</v>
      </c>
      <c r="H262" s="64">
        <f>H263</f>
        <v>0</v>
      </c>
    </row>
    <row r="263" spans="1:8" ht="33.75" customHeight="1">
      <c r="A263" s="27" t="s">
        <v>547</v>
      </c>
      <c r="B263" s="14" t="s">
        <v>371</v>
      </c>
      <c r="C263" s="14" t="s">
        <v>142</v>
      </c>
      <c r="D263" s="14" t="s">
        <v>21</v>
      </c>
      <c r="E263" s="14" t="s">
        <v>391</v>
      </c>
      <c r="F263" s="64">
        <f t="shared" si="6"/>
        <v>419.9</v>
      </c>
      <c r="G263" s="64">
        <f>G264</f>
        <v>419.9</v>
      </c>
      <c r="H263" s="64">
        <f>H265</f>
        <v>0</v>
      </c>
    </row>
    <row r="264" spans="1:8" ht="33.75" customHeight="1">
      <c r="A264" s="27" t="s">
        <v>180</v>
      </c>
      <c r="B264" s="14" t="s">
        <v>371</v>
      </c>
      <c r="C264" s="14" t="s">
        <v>142</v>
      </c>
      <c r="D264" s="14" t="s">
        <v>21</v>
      </c>
      <c r="E264" s="14" t="s">
        <v>149</v>
      </c>
      <c r="F264" s="64">
        <f t="shared" si="6"/>
        <v>419.9</v>
      </c>
      <c r="G264" s="64">
        <f>G265</f>
        <v>419.9</v>
      </c>
      <c r="H264" s="64"/>
    </row>
    <row r="265" spans="1:8" ht="48.75" customHeight="1">
      <c r="A265" s="52" t="s">
        <v>181</v>
      </c>
      <c r="B265" s="14" t="s">
        <v>371</v>
      </c>
      <c r="C265" s="14" t="s">
        <v>142</v>
      </c>
      <c r="D265" s="14" t="s">
        <v>21</v>
      </c>
      <c r="E265" s="14" t="s">
        <v>182</v>
      </c>
      <c r="F265" s="64">
        <f t="shared" si="6"/>
        <v>419.9</v>
      </c>
      <c r="G265" s="64">
        <f>503.9-154+70</f>
        <v>419.9</v>
      </c>
      <c r="H265" s="64"/>
    </row>
    <row r="266" spans="1:8" ht="33" customHeight="1">
      <c r="A266" s="27" t="s">
        <v>468</v>
      </c>
      <c r="B266" s="14" t="s">
        <v>371</v>
      </c>
      <c r="C266" s="14" t="s">
        <v>142</v>
      </c>
      <c r="D266" s="14" t="s">
        <v>89</v>
      </c>
      <c r="E266" s="14" t="s">
        <v>391</v>
      </c>
      <c r="F266" s="64">
        <f t="shared" si="6"/>
        <v>670.9</v>
      </c>
      <c r="G266" s="64">
        <f>G267</f>
        <v>670.9</v>
      </c>
      <c r="H266" s="64"/>
    </row>
    <row r="267" spans="1:8" ht="31.5" customHeight="1">
      <c r="A267" s="27" t="s">
        <v>180</v>
      </c>
      <c r="B267" s="14" t="s">
        <v>371</v>
      </c>
      <c r="C267" s="14" t="s">
        <v>142</v>
      </c>
      <c r="D267" s="14" t="s">
        <v>89</v>
      </c>
      <c r="E267" s="14" t="s">
        <v>149</v>
      </c>
      <c r="F267" s="64">
        <f t="shared" si="6"/>
        <v>670.9</v>
      </c>
      <c r="G267" s="64">
        <f>G268</f>
        <v>670.9</v>
      </c>
      <c r="H267" s="64"/>
    </row>
    <row r="268" spans="1:8" ht="48" customHeight="1">
      <c r="A268" s="52" t="s">
        <v>181</v>
      </c>
      <c r="B268" s="14" t="s">
        <v>371</v>
      </c>
      <c r="C268" s="14" t="s">
        <v>142</v>
      </c>
      <c r="D268" s="14" t="s">
        <v>89</v>
      </c>
      <c r="E268" s="14" t="s">
        <v>182</v>
      </c>
      <c r="F268" s="64">
        <f t="shared" si="6"/>
        <v>670.9</v>
      </c>
      <c r="G268" s="64">
        <f>655.9+15</f>
        <v>670.9</v>
      </c>
      <c r="H268" s="64"/>
    </row>
    <row r="269" spans="1:8" ht="48" customHeight="1" hidden="1">
      <c r="A269" s="46" t="s">
        <v>721</v>
      </c>
      <c r="B269" s="28" t="s">
        <v>371</v>
      </c>
      <c r="C269" s="28" t="s">
        <v>142</v>
      </c>
      <c r="D269" s="28" t="s">
        <v>722</v>
      </c>
      <c r="E269" s="28" t="s">
        <v>391</v>
      </c>
      <c r="F269" s="65">
        <f t="shared" si="6"/>
        <v>0</v>
      </c>
      <c r="G269" s="65">
        <f>G270</f>
        <v>0</v>
      </c>
      <c r="H269" s="65"/>
    </row>
    <row r="270" spans="1:8" ht="36" customHeight="1" hidden="1">
      <c r="A270" s="27" t="s">
        <v>180</v>
      </c>
      <c r="B270" s="14" t="s">
        <v>371</v>
      </c>
      <c r="C270" s="14" t="s">
        <v>142</v>
      </c>
      <c r="D270" s="14" t="s">
        <v>722</v>
      </c>
      <c r="E270" s="14" t="s">
        <v>149</v>
      </c>
      <c r="F270" s="64">
        <f t="shared" si="6"/>
        <v>0</v>
      </c>
      <c r="G270" s="64">
        <f>G271</f>
        <v>0</v>
      </c>
      <c r="H270" s="64"/>
    </row>
    <row r="271" spans="1:8" ht="48" customHeight="1" hidden="1">
      <c r="A271" s="52" t="s">
        <v>181</v>
      </c>
      <c r="B271" s="14" t="s">
        <v>371</v>
      </c>
      <c r="C271" s="14" t="s">
        <v>142</v>
      </c>
      <c r="D271" s="14" t="s">
        <v>722</v>
      </c>
      <c r="E271" s="14" t="s">
        <v>182</v>
      </c>
      <c r="F271" s="64">
        <f t="shared" si="6"/>
        <v>0</v>
      </c>
      <c r="G271" s="64">
        <v>0</v>
      </c>
      <c r="H271" s="64"/>
    </row>
    <row r="272" spans="1:8" ht="81.75" customHeight="1">
      <c r="A272" s="31" t="s">
        <v>548</v>
      </c>
      <c r="B272" s="28" t="s">
        <v>371</v>
      </c>
      <c r="C272" s="28" t="s">
        <v>142</v>
      </c>
      <c r="D272" s="28" t="s">
        <v>549</v>
      </c>
      <c r="E272" s="28" t="s">
        <v>391</v>
      </c>
      <c r="F272" s="65">
        <f t="shared" si="6"/>
        <v>2803.93102</v>
      </c>
      <c r="G272" s="65">
        <f>G273</f>
        <v>30</v>
      </c>
      <c r="H272" s="65">
        <f>H273</f>
        <v>2773.93102</v>
      </c>
    </row>
    <row r="273" spans="1:8" ht="63" customHeight="1">
      <c r="A273" s="52" t="s">
        <v>550</v>
      </c>
      <c r="B273" s="14" t="s">
        <v>371</v>
      </c>
      <c r="C273" s="14" t="s">
        <v>142</v>
      </c>
      <c r="D273" s="14" t="s">
        <v>549</v>
      </c>
      <c r="E273" s="14" t="s">
        <v>391</v>
      </c>
      <c r="F273" s="64">
        <f t="shared" si="6"/>
        <v>2803.93102</v>
      </c>
      <c r="G273" s="64">
        <f>G274</f>
        <v>30</v>
      </c>
      <c r="H273" s="64">
        <f>H274</f>
        <v>2773.93102</v>
      </c>
    </row>
    <row r="274" spans="1:8" ht="24" customHeight="1">
      <c r="A274" s="27" t="s">
        <v>185</v>
      </c>
      <c r="B274" s="14" t="s">
        <v>371</v>
      </c>
      <c r="C274" s="14" t="s">
        <v>142</v>
      </c>
      <c r="D274" s="14" t="s">
        <v>549</v>
      </c>
      <c r="E274" s="14" t="s">
        <v>186</v>
      </c>
      <c r="F274" s="64">
        <f t="shared" si="6"/>
        <v>2803.93102</v>
      </c>
      <c r="G274" s="64">
        <f>G276</f>
        <v>30</v>
      </c>
      <c r="H274" s="64">
        <f>H275</f>
        <v>2773.93102</v>
      </c>
    </row>
    <row r="275" spans="1:8" ht="63" customHeight="1">
      <c r="A275" s="27" t="s">
        <v>681</v>
      </c>
      <c r="B275" s="14" t="s">
        <v>371</v>
      </c>
      <c r="C275" s="14" t="s">
        <v>142</v>
      </c>
      <c r="D275" s="14" t="s">
        <v>551</v>
      </c>
      <c r="E275" s="14" t="s">
        <v>369</v>
      </c>
      <c r="F275" s="64">
        <f t="shared" si="6"/>
        <v>2773.93102</v>
      </c>
      <c r="G275" s="64"/>
      <c r="H275" s="64">
        <f>1382.48629+1391.44473</f>
        <v>2773.93102</v>
      </c>
    </row>
    <row r="276" spans="1:8" ht="63" customHeight="1">
      <c r="A276" s="27" t="s">
        <v>682</v>
      </c>
      <c r="B276" s="14" t="s">
        <v>371</v>
      </c>
      <c r="C276" s="14" t="s">
        <v>142</v>
      </c>
      <c r="D276" s="14" t="s">
        <v>711</v>
      </c>
      <c r="E276" s="14" t="s">
        <v>369</v>
      </c>
      <c r="F276" s="64">
        <f t="shared" si="6"/>
        <v>30</v>
      </c>
      <c r="G276" s="64">
        <f>20+10</f>
        <v>30</v>
      </c>
      <c r="H276" s="64"/>
    </row>
    <row r="277" spans="1:8" ht="33" customHeight="1">
      <c r="A277" s="46" t="s">
        <v>143</v>
      </c>
      <c r="B277" s="28" t="s">
        <v>371</v>
      </c>
      <c r="C277" s="28" t="s">
        <v>142</v>
      </c>
      <c r="D277" s="28" t="s">
        <v>8</v>
      </c>
      <c r="E277" s="28" t="s">
        <v>391</v>
      </c>
      <c r="F277" s="65">
        <f t="shared" si="6"/>
        <v>100</v>
      </c>
      <c r="G277" s="65">
        <f>G278</f>
        <v>100</v>
      </c>
      <c r="H277" s="65"/>
    </row>
    <row r="278" spans="1:8" ht="33" customHeight="1">
      <c r="A278" s="52" t="s">
        <v>144</v>
      </c>
      <c r="B278" s="14" t="s">
        <v>371</v>
      </c>
      <c r="C278" s="14" t="s">
        <v>142</v>
      </c>
      <c r="D278" s="14" t="s">
        <v>9</v>
      </c>
      <c r="E278" s="14" t="s">
        <v>391</v>
      </c>
      <c r="F278" s="64">
        <f t="shared" si="6"/>
        <v>100</v>
      </c>
      <c r="G278" s="64">
        <f>G279</f>
        <v>100</v>
      </c>
      <c r="H278" s="64"/>
    </row>
    <row r="279" spans="1:8" ht="114.75" customHeight="1">
      <c r="A279" s="42" t="s">
        <v>552</v>
      </c>
      <c r="B279" s="59" t="s">
        <v>371</v>
      </c>
      <c r="C279" s="59" t="s">
        <v>142</v>
      </c>
      <c r="D279" s="59" t="s">
        <v>553</v>
      </c>
      <c r="E279" s="59" t="s">
        <v>391</v>
      </c>
      <c r="F279" s="112">
        <f t="shared" si="6"/>
        <v>100</v>
      </c>
      <c r="G279" s="112">
        <f>G280</f>
        <v>100</v>
      </c>
      <c r="H279" s="112"/>
    </row>
    <row r="280" spans="1:8" ht="36" customHeight="1">
      <c r="A280" s="27" t="s">
        <v>180</v>
      </c>
      <c r="B280" s="14" t="s">
        <v>371</v>
      </c>
      <c r="C280" s="14" t="s">
        <v>142</v>
      </c>
      <c r="D280" s="14" t="s">
        <v>553</v>
      </c>
      <c r="E280" s="14" t="s">
        <v>149</v>
      </c>
      <c r="F280" s="64">
        <f t="shared" si="6"/>
        <v>100</v>
      </c>
      <c r="G280" s="64">
        <f>G281</f>
        <v>100</v>
      </c>
      <c r="H280" s="64"/>
    </row>
    <row r="281" spans="1:8" ht="48" customHeight="1">
      <c r="A281" s="52" t="s">
        <v>181</v>
      </c>
      <c r="B281" s="14" t="s">
        <v>371</v>
      </c>
      <c r="C281" s="14" t="s">
        <v>142</v>
      </c>
      <c r="D281" s="14" t="s">
        <v>553</v>
      </c>
      <c r="E281" s="14" t="s">
        <v>182</v>
      </c>
      <c r="F281" s="64">
        <f t="shared" si="6"/>
        <v>100</v>
      </c>
      <c r="G281" s="64">
        <f>250-150</f>
        <v>100</v>
      </c>
      <c r="H281" s="64"/>
    </row>
    <row r="282" spans="1:8" s="148" customFormat="1" ht="79.5" customHeight="1">
      <c r="A282" s="46" t="s">
        <v>506</v>
      </c>
      <c r="B282" s="28" t="s">
        <v>371</v>
      </c>
      <c r="C282" s="28" t="s">
        <v>142</v>
      </c>
      <c r="D282" s="28" t="s">
        <v>504</v>
      </c>
      <c r="E282" s="28" t="s">
        <v>391</v>
      </c>
      <c r="F282" s="65">
        <f t="shared" si="6"/>
        <v>81.6</v>
      </c>
      <c r="G282" s="65">
        <f>G283</f>
        <v>81.6</v>
      </c>
      <c r="H282" s="65"/>
    </row>
    <row r="283" spans="1:8" ht="39" customHeight="1">
      <c r="A283" s="27" t="s">
        <v>180</v>
      </c>
      <c r="B283" s="14" t="s">
        <v>371</v>
      </c>
      <c r="C283" s="14" t="s">
        <v>142</v>
      </c>
      <c r="D283" s="14" t="s">
        <v>637</v>
      </c>
      <c r="E283" s="14" t="s">
        <v>149</v>
      </c>
      <c r="F283" s="64">
        <f>G283</f>
        <v>81.6</v>
      </c>
      <c r="G283" s="64">
        <f>G284</f>
        <v>81.6</v>
      </c>
      <c r="H283" s="64"/>
    </row>
    <row r="284" spans="1:8" ht="48" customHeight="1">
      <c r="A284" s="52" t="s">
        <v>181</v>
      </c>
      <c r="B284" s="14" t="s">
        <v>371</v>
      </c>
      <c r="C284" s="14" t="s">
        <v>142</v>
      </c>
      <c r="D284" s="14" t="s">
        <v>637</v>
      </c>
      <c r="E284" s="14" t="s">
        <v>182</v>
      </c>
      <c r="F284" s="64">
        <f>G284</f>
        <v>81.6</v>
      </c>
      <c r="G284" s="64">
        <f>31.6+50</f>
        <v>81.6</v>
      </c>
      <c r="H284" s="64"/>
    </row>
    <row r="285" spans="1:8" s="148" customFormat="1" ht="17.25" customHeight="1">
      <c r="A285" s="46" t="s">
        <v>375</v>
      </c>
      <c r="B285" s="28" t="s">
        <v>371</v>
      </c>
      <c r="C285" s="28" t="s">
        <v>147</v>
      </c>
      <c r="D285" s="28" t="s">
        <v>304</v>
      </c>
      <c r="E285" s="28" t="s">
        <v>391</v>
      </c>
      <c r="F285" s="65">
        <f t="shared" si="6"/>
        <v>2135.2619999999997</v>
      </c>
      <c r="G285" s="65">
        <f>G286+G289</f>
        <v>2135.2619999999997</v>
      </c>
      <c r="H285" s="65">
        <f>H286+H289</f>
        <v>0</v>
      </c>
    </row>
    <row r="286" spans="1:8" ht="17.25" customHeight="1">
      <c r="A286" s="52" t="s">
        <v>376</v>
      </c>
      <c r="B286" s="14" t="s">
        <v>371</v>
      </c>
      <c r="C286" s="14" t="s">
        <v>147</v>
      </c>
      <c r="D286" s="14" t="s">
        <v>22</v>
      </c>
      <c r="E286" s="14" t="s">
        <v>391</v>
      </c>
      <c r="F286" s="64">
        <f t="shared" si="6"/>
        <v>25.659999999999997</v>
      </c>
      <c r="G286" s="64">
        <f>G287</f>
        <v>25.659999999999997</v>
      </c>
      <c r="H286" s="64">
        <f>H287</f>
        <v>0</v>
      </c>
    </row>
    <row r="287" spans="1:8" ht="34.5" customHeight="1">
      <c r="A287" s="27" t="s">
        <v>180</v>
      </c>
      <c r="B287" s="14" t="s">
        <v>371</v>
      </c>
      <c r="C287" s="14" t="s">
        <v>147</v>
      </c>
      <c r="D287" s="14" t="s">
        <v>22</v>
      </c>
      <c r="E287" s="14" t="s">
        <v>149</v>
      </c>
      <c r="F287" s="64">
        <f t="shared" si="6"/>
        <v>25.659999999999997</v>
      </c>
      <c r="G287" s="64">
        <f>G288</f>
        <v>25.659999999999997</v>
      </c>
      <c r="H287" s="64">
        <f>H288</f>
        <v>0</v>
      </c>
    </row>
    <row r="288" spans="1:8" ht="49.5" customHeight="1">
      <c r="A288" s="52" t="s">
        <v>181</v>
      </c>
      <c r="B288" s="14" t="s">
        <v>371</v>
      </c>
      <c r="C288" s="14" t="s">
        <v>147</v>
      </c>
      <c r="D288" s="14" t="s">
        <v>22</v>
      </c>
      <c r="E288" s="14" t="s">
        <v>182</v>
      </c>
      <c r="F288" s="64">
        <f t="shared" si="6"/>
        <v>25.659999999999997</v>
      </c>
      <c r="G288" s="64">
        <f>90-15-49.34</f>
        <v>25.659999999999997</v>
      </c>
      <c r="H288" s="64"/>
    </row>
    <row r="289" spans="1:8" ht="17.25" customHeight="1">
      <c r="A289" s="52" t="s">
        <v>377</v>
      </c>
      <c r="B289" s="14" t="s">
        <v>371</v>
      </c>
      <c r="C289" s="14" t="s">
        <v>147</v>
      </c>
      <c r="D289" s="14" t="s">
        <v>23</v>
      </c>
      <c r="E289" s="14" t="s">
        <v>391</v>
      </c>
      <c r="F289" s="64">
        <f t="shared" si="6"/>
        <v>2109.602</v>
      </c>
      <c r="G289" s="64">
        <f>G290+G292</f>
        <v>2109.602</v>
      </c>
      <c r="H289" s="64">
        <f>H290</f>
        <v>0</v>
      </c>
    </row>
    <row r="290" spans="1:8" ht="37.5" customHeight="1">
      <c r="A290" s="27" t="s">
        <v>180</v>
      </c>
      <c r="B290" s="14" t="s">
        <v>371</v>
      </c>
      <c r="C290" s="14" t="s">
        <v>147</v>
      </c>
      <c r="D290" s="14" t="s">
        <v>23</v>
      </c>
      <c r="E290" s="14" t="s">
        <v>149</v>
      </c>
      <c r="F290" s="64">
        <f t="shared" si="6"/>
        <v>1813.004</v>
      </c>
      <c r="G290" s="64">
        <f>G291</f>
        <v>1813.004</v>
      </c>
      <c r="H290" s="64">
        <f>H291</f>
        <v>0</v>
      </c>
    </row>
    <row r="291" spans="1:8" ht="48" customHeight="1">
      <c r="A291" s="52" t="s">
        <v>181</v>
      </c>
      <c r="B291" s="14" t="s">
        <v>371</v>
      </c>
      <c r="C291" s="14" t="s">
        <v>147</v>
      </c>
      <c r="D291" s="14" t="s">
        <v>23</v>
      </c>
      <c r="E291" s="14" t="s">
        <v>182</v>
      </c>
      <c r="F291" s="64">
        <f t="shared" si="6"/>
        <v>1813.004</v>
      </c>
      <c r="G291" s="64">
        <f>100+1950.4+0.004-65-172.4</f>
        <v>1813.004</v>
      </c>
      <c r="H291" s="64"/>
    </row>
    <row r="292" spans="1:8" ht="48" customHeight="1">
      <c r="A292" s="52" t="s">
        <v>572</v>
      </c>
      <c r="B292" s="14" t="s">
        <v>371</v>
      </c>
      <c r="C292" s="14" t="s">
        <v>147</v>
      </c>
      <c r="D292" s="14" t="s">
        <v>23</v>
      </c>
      <c r="E292" s="14" t="s">
        <v>573</v>
      </c>
      <c r="F292" s="64">
        <f>G292</f>
        <v>296.598</v>
      </c>
      <c r="G292" s="64">
        <f>G293</f>
        <v>296.598</v>
      </c>
      <c r="H292" s="64"/>
    </row>
    <row r="293" spans="1:8" ht="16.5" customHeight="1">
      <c r="A293" s="52" t="s">
        <v>574</v>
      </c>
      <c r="B293" s="14" t="s">
        <v>371</v>
      </c>
      <c r="C293" s="14" t="s">
        <v>147</v>
      </c>
      <c r="D293" s="14" t="s">
        <v>23</v>
      </c>
      <c r="E293" s="14" t="s">
        <v>575</v>
      </c>
      <c r="F293" s="64">
        <f>G293</f>
        <v>296.598</v>
      </c>
      <c r="G293" s="64">
        <v>296.598</v>
      </c>
      <c r="H293" s="64"/>
    </row>
    <row r="294" spans="1:8" ht="34.5" customHeight="1">
      <c r="A294" s="27" t="s">
        <v>348</v>
      </c>
      <c r="B294" s="14" t="s">
        <v>371</v>
      </c>
      <c r="C294" s="14" t="s">
        <v>371</v>
      </c>
      <c r="D294" s="14" t="s">
        <v>304</v>
      </c>
      <c r="E294" s="14" t="s">
        <v>391</v>
      </c>
      <c r="F294" s="64">
        <f t="shared" si="6"/>
        <v>4023.82524</v>
      </c>
      <c r="G294" s="64">
        <f>G295</f>
        <v>4022.13</v>
      </c>
      <c r="H294" s="64">
        <f>H295+H302</f>
        <v>1.69524</v>
      </c>
    </row>
    <row r="295" spans="1:8" ht="33.75" customHeight="1">
      <c r="A295" s="27" t="s">
        <v>143</v>
      </c>
      <c r="B295" s="14" t="s">
        <v>371</v>
      </c>
      <c r="C295" s="14" t="s">
        <v>371</v>
      </c>
      <c r="D295" s="14" t="s">
        <v>9</v>
      </c>
      <c r="E295" s="14" t="s">
        <v>391</v>
      </c>
      <c r="F295" s="64">
        <f t="shared" si="6"/>
        <v>4022.13</v>
      </c>
      <c r="G295" s="64">
        <f>G296</f>
        <v>4022.13</v>
      </c>
      <c r="H295" s="64">
        <f>H296</f>
        <v>0</v>
      </c>
    </row>
    <row r="296" spans="1:8" s="148" customFormat="1" ht="48" customHeight="1">
      <c r="A296" s="31" t="s">
        <v>144</v>
      </c>
      <c r="B296" s="28" t="s">
        <v>371</v>
      </c>
      <c r="C296" s="28" t="s">
        <v>371</v>
      </c>
      <c r="D296" s="28" t="s">
        <v>12</v>
      </c>
      <c r="E296" s="28" t="s">
        <v>391</v>
      </c>
      <c r="F296" s="65">
        <f t="shared" si="6"/>
        <v>4022.13</v>
      </c>
      <c r="G296" s="65">
        <f>G297</f>
        <v>4022.13</v>
      </c>
      <c r="H296" s="65">
        <f>H297</f>
        <v>0</v>
      </c>
    </row>
    <row r="297" spans="1:8" ht="48" customHeight="1">
      <c r="A297" s="27" t="s">
        <v>372</v>
      </c>
      <c r="B297" s="14" t="s">
        <v>371</v>
      </c>
      <c r="C297" s="14" t="s">
        <v>371</v>
      </c>
      <c r="D297" s="14" t="s">
        <v>12</v>
      </c>
      <c r="E297" s="14" t="s">
        <v>391</v>
      </c>
      <c r="F297" s="64">
        <f t="shared" si="6"/>
        <v>4022.13</v>
      </c>
      <c r="G297" s="64">
        <f>G298+G300</f>
        <v>4022.13</v>
      </c>
      <c r="H297" s="64">
        <f>SUM(H298:H301)</f>
        <v>0</v>
      </c>
    </row>
    <row r="298" spans="1:8" ht="96.75" customHeight="1">
      <c r="A298" s="27" t="s">
        <v>177</v>
      </c>
      <c r="B298" s="14" t="s">
        <v>371</v>
      </c>
      <c r="C298" s="14" t="s">
        <v>371</v>
      </c>
      <c r="D298" s="14" t="s">
        <v>12</v>
      </c>
      <c r="E298" s="14" t="s">
        <v>145</v>
      </c>
      <c r="F298" s="64">
        <f t="shared" si="6"/>
        <v>3822.5</v>
      </c>
      <c r="G298" s="64">
        <f>G299</f>
        <v>3822.5</v>
      </c>
      <c r="H298" s="64"/>
    </row>
    <row r="299" spans="1:8" ht="34.5" customHeight="1">
      <c r="A299" s="52" t="s">
        <v>179</v>
      </c>
      <c r="B299" s="14" t="s">
        <v>371</v>
      </c>
      <c r="C299" s="14" t="s">
        <v>371</v>
      </c>
      <c r="D299" s="14" t="s">
        <v>12</v>
      </c>
      <c r="E299" s="14" t="s">
        <v>178</v>
      </c>
      <c r="F299" s="64">
        <f t="shared" si="6"/>
        <v>3822.5</v>
      </c>
      <c r="G299" s="64">
        <f>2717+45+820.5+160+80</f>
        <v>3822.5</v>
      </c>
      <c r="H299" s="64"/>
    </row>
    <row r="300" spans="1:8" ht="32.25" customHeight="1">
      <c r="A300" s="27" t="s">
        <v>180</v>
      </c>
      <c r="B300" s="14" t="s">
        <v>371</v>
      </c>
      <c r="C300" s="14" t="s">
        <v>371</v>
      </c>
      <c r="D300" s="14" t="s">
        <v>12</v>
      </c>
      <c r="E300" s="14" t="s">
        <v>149</v>
      </c>
      <c r="F300" s="64">
        <f t="shared" si="6"/>
        <v>199.63</v>
      </c>
      <c r="G300" s="64">
        <f>G301</f>
        <v>199.63</v>
      </c>
      <c r="H300" s="64"/>
    </row>
    <row r="301" spans="1:8" ht="50.25" customHeight="1">
      <c r="A301" s="52" t="s">
        <v>181</v>
      </c>
      <c r="B301" s="14" t="s">
        <v>371</v>
      </c>
      <c r="C301" s="14" t="s">
        <v>371</v>
      </c>
      <c r="D301" s="14" t="s">
        <v>12</v>
      </c>
      <c r="E301" s="14" t="s">
        <v>182</v>
      </c>
      <c r="F301" s="64">
        <f t="shared" si="6"/>
        <v>199.63</v>
      </c>
      <c r="G301" s="64">
        <f>58.63+15+65+25+9.6+24+2.4</f>
        <v>199.63</v>
      </c>
      <c r="H301" s="64"/>
    </row>
    <row r="302" spans="1:8" s="148" customFormat="1" ht="78" customHeight="1">
      <c r="A302" s="46" t="s">
        <v>708</v>
      </c>
      <c r="B302" s="28" t="s">
        <v>371</v>
      </c>
      <c r="C302" s="28" t="s">
        <v>371</v>
      </c>
      <c r="D302" s="28" t="s">
        <v>24</v>
      </c>
      <c r="E302" s="28" t="s">
        <v>391</v>
      </c>
      <c r="F302" s="65">
        <f t="shared" si="6"/>
        <v>1.69524</v>
      </c>
      <c r="G302" s="65"/>
      <c r="H302" s="65">
        <f>H303+H305</f>
        <v>1.69524</v>
      </c>
    </row>
    <row r="303" spans="1:8" ht="94.5" customHeight="1">
      <c r="A303" s="52" t="s">
        <v>346</v>
      </c>
      <c r="B303" s="14" t="s">
        <v>371</v>
      </c>
      <c r="C303" s="14" t="s">
        <v>371</v>
      </c>
      <c r="D303" s="14" t="s">
        <v>24</v>
      </c>
      <c r="E303" s="14" t="s">
        <v>145</v>
      </c>
      <c r="F303" s="64">
        <f t="shared" si="6"/>
        <v>1.69524</v>
      </c>
      <c r="G303" s="64"/>
      <c r="H303" s="64">
        <f>H304</f>
        <v>1.69524</v>
      </c>
    </row>
    <row r="304" spans="1:8" ht="34.5" customHeight="1">
      <c r="A304" s="52" t="s">
        <v>179</v>
      </c>
      <c r="B304" s="14" t="s">
        <v>371</v>
      </c>
      <c r="C304" s="14" t="s">
        <v>371</v>
      </c>
      <c r="D304" s="14" t="s">
        <v>24</v>
      </c>
      <c r="E304" s="14" t="s">
        <v>178</v>
      </c>
      <c r="F304" s="64">
        <f t="shared" si="6"/>
        <v>1.69524</v>
      </c>
      <c r="G304" s="64"/>
      <c r="H304" s="64">
        <v>1.69524</v>
      </c>
    </row>
    <row r="305" spans="1:8" ht="34.5" customHeight="1" hidden="1">
      <c r="A305" s="52" t="s">
        <v>180</v>
      </c>
      <c r="B305" s="14" t="s">
        <v>371</v>
      </c>
      <c r="C305" s="14" t="s">
        <v>371</v>
      </c>
      <c r="D305" s="14" t="s">
        <v>24</v>
      </c>
      <c r="E305" s="14" t="s">
        <v>149</v>
      </c>
      <c r="F305" s="64">
        <f t="shared" si="6"/>
        <v>0</v>
      </c>
      <c r="G305" s="64"/>
      <c r="H305" s="64">
        <f>H306</f>
        <v>0</v>
      </c>
    </row>
    <row r="306" spans="1:8" ht="51" customHeight="1" hidden="1">
      <c r="A306" s="52" t="s">
        <v>181</v>
      </c>
      <c r="B306" s="14" t="s">
        <v>371</v>
      </c>
      <c r="C306" s="14" t="s">
        <v>371</v>
      </c>
      <c r="D306" s="14" t="s">
        <v>24</v>
      </c>
      <c r="E306" s="14" t="s">
        <v>182</v>
      </c>
      <c r="F306" s="64">
        <f t="shared" si="6"/>
        <v>0</v>
      </c>
      <c r="G306" s="64"/>
      <c r="H306" s="64">
        <v>0</v>
      </c>
    </row>
    <row r="307" spans="1:12" s="164" customFormat="1" ht="20.25" customHeight="1">
      <c r="A307" s="62" t="s">
        <v>373</v>
      </c>
      <c r="B307" s="20" t="s">
        <v>374</v>
      </c>
      <c r="C307" s="20" t="s">
        <v>141</v>
      </c>
      <c r="D307" s="20" t="s">
        <v>304</v>
      </c>
      <c r="E307" s="20" t="s">
        <v>391</v>
      </c>
      <c r="F307" s="115">
        <f>G307+H307</f>
        <v>478133.0232899999</v>
      </c>
      <c r="G307" s="115">
        <f>G308+G336+G370+G386+G410+G433+G415</f>
        <v>231311.30785999997</v>
      </c>
      <c r="H307" s="115">
        <f>H308+H336+H410+H433+H415+H386</f>
        <v>246821.71542999998</v>
      </c>
      <c r="J307" s="185"/>
      <c r="K307" s="167"/>
      <c r="L307" s="167"/>
    </row>
    <row r="308" spans="1:8" ht="18.75" customHeight="1">
      <c r="A308" s="27" t="s">
        <v>382</v>
      </c>
      <c r="B308" s="14" t="s">
        <v>374</v>
      </c>
      <c r="C308" s="14" t="s">
        <v>140</v>
      </c>
      <c r="D308" s="14" t="s">
        <v>304</v>
      </c>
      <c r="E308" s="14" t="s">
        <v>391</v>
      </c>
      <c r="F308" s="64">
        <f t="shared" si="6"/>
        <v>77170.837</v>
      </c>
      <c r="G308" s="64">
        <f>G309+G318+G327+G331</f>
        <v>37701.725000000006</v>
      </c>
      <c r="H308" s="64">
        <f>H324</f>
        <v>39469.112</v>
      </c>
    </row>
    <row r="309" spans="1:8" s="148" customFormat="1" ht="49.5" customHeight="1">
      <c r="A309" s="31" t="s">
        <v>452</v>
      </c>
      <c r="B309" s="28" t="s">
        <v>374</v>
      </c>
      <c r="C309" s="28" t="s">
        <v>140</v>
      </c>
      <c r="D309" s="28" t="s">
        <v>26</v>
      </c>
      <c r="E309" s="28" t="s">
        <v>391</v>
      </c>
      <c r="F309" s="65">
        <f t="shared" si="6"/>
        <v>36801.725000000006</v>
      </c>
      <c r="G309" s="65">
        <f>G310</f>
        <v>36801.725000000006</v>
      </c>
      <c r="H309" s="65">
        <f>H310</f>
        <v>0</v>
      </c>
    </row>
    <row r="310" spans="1:8" ht="48" customHeight="1">
      <c r="A310" s="32" t="s">
        <v>242</v>
      </c>
      <c r="B310" s="14" t="s">
        <v>374</v>
      </c>
      <c r="C310" s="14" t="s">
        <v>140</v>
      </c>
      <c r="D310" s="14" t="s">
        <v>39</v>
      </c>
      <c r="E310" s="14" t="s">
        <v>391</v>
      </c>
      <c r="F310" s="64">
        <f t="shared" si="6"/>
        <v>36801.725000000006</v>
      </c>
      <c r="G310" s="64">
        <f>G311+G313+G316</f>
        <v>36801.725000000006</v>
      </c>
      <c r="H310" s="64">
        <f>SUM(H312:H315)</f>
        <v>0</v>
      </c>
    </row>
    <row r="311" spans="1:8" ht="50.25" customHeight="1">
      <c r="A311" s="27" t="s">
        <v>203</v>
      </c>
      <c r="B311" s="14" t="s">
        <v>374</v>
      </c>
      <c r="C311" s="14" t="s">
        <v>140</v>
      </c>
      <c r="D311" s="14" t="s">
        <v>41</v>
      </c>
      <c r="E311" s="14" t="s">
        <v>204</v>
      </c>
      <c r="F311" s="64">
        <f t="shared" si="6"/>
        <v>2890.1250000000005</v>
      </c>
      <c r="G311" s="64">
        <f>G312</f>
        <v>2890.1250000000005</v>
      </c>
      <c r="H311" s="64">
        <f>H312</f>
        <v>0</v>
      </c>
    </row>
    <row r="312" spans="1:8" ht="19.5" customHeight="1">
      <c r="A312" s="27" t="s">
        <v>205</v>
      </c>
      <c r="B312" s="14" t="s">
        <v>374</v>
      </c>
      <c r="C312" s="14" t="s">
        <v>140</v>
      </c>
      <c r="D312" s="14" t="s">
        <v>40</v>
      </c>
      <c r="E312" s="14" t="s">
        <v>271</v>
      </c>
      <c r="F312" s="64">
        <f t="shared" si="6"/>
        <v>2890.1250000000005</v>
      </c>
      <c r="G312" s="64">
        <f>200+200+2794.8-209.919-94.756</f>
        <v>2890.1250000000005</v>
      </c>
      <c r="H312" s="64"/>
    </row>
    <row r="313" spans="1:8" ht="96" customHeight="1">
      <c r="A313" s="27" t="s">
        <v>871</v>
      </c>
      <c r="B313" s="14" t="s">
        <v>374</v>
      </c>
      <c r="C313" s="14" t="s">
        <v>140</v>
      </c>
      <c r="D313" s="14" t="s">
        <v>41</v>
      </c>
      <c r="E313" s="14" t="s">
        <v>391</v>
      </c>
      <c r="F313" s="64">
        <f t="shared" si="6"/>
        <v>33831.600000000006</v>
      </c>
      <c r="G313" s="64">
        <f>G314</f>
        <v>33831.600000000006</v>
      </c>
      <c r="H313" s="64">
        <f>SUM(H314:H315)</f>
        <v>0</v>
      </c>
    </row>
    <row r="314" spans="1:8" ht="48" customHeight="1">
      <c r="A314" s="27" t="s">
        <v>203</v>
      </c>
      <c r="B314" s="14" t="s">
        <v>374</v>
      </c>
      <c r="C314" s="14" t="s">
        <v>140</v>
      </c>
      <c r="D314" s="14" t="s">
        <v>42</v>
      </c>
      <c r="E314" s="14" t="s">
        <v>204</v>
      </c>
      <c r="F314" s="64">
        <f t="shared" si="6"/>
        <v>33831.600000000006</v>
      </c>
      <c r="G314" s="64">
        <f>G315</f>
        <v>33831.600000000006</v>
      </c>
      <c r="H314" s="64"/>
    </row>
    <row r="315" spans="1:10" ht="15.75" customHeight="1">
      <c r="A315" s="27" t="s">
        <v>205</v>
      </c>
      <c r="B315" s="14" t="s">
        <v>374</v>
      </c>
      <c r="C315" s="14" t="s">
        <v>140</v>
      </c>
      <c r="D315" s="14" t="s">
        <v>42</v>
      </c>
      <c r="E315" s="14" t="s">
        <v>271</v>
      </c>
      <c r="F315" s="64">
        <f t="shared" si="6"/>
        <v>33831.600000000006</v>
      </c>
      <c r="G315" s="64">
        <f>21846.4+4500.9-1950.4+2310.4+7124.3</f>
        <v>33831.600000000006</v>
      </c>
      <c r="H315" s="64"/>
      <c r="J315" s="153"/>
    </row>
    <row r="316" spans="1:10" ht="52.5" customHeight="1">
      <c r="A316" s="27" t="s">
        <v>203</v>
      </c>
      <c r="B316" s="14" t="s">
        <v>374</v>
      </c>
      <c r="C316" s="14" t="s">
        <v>140</v>
      </c>
      <c r="D316" s="14" t="s">
        <v>811</v>
      </c>
      <c r="E316" s="14" t="s">
        <v>204</v>
      </c>
      <c r="F316" s="64">
        <f>G316+H316</f>
        <v>80</v>
      </c>
      <c r="G316" s="64">
        <f>G317</f>
        <v>80</v>
      </c>
      <c r="H316" s="64">
        <f>H317</f>
        <v>0</v>
      </c>
      <c r="J316" s="153"/>
    </row>
    <row r="317" spans="1:10" ht="30.75" customHeight="1">
      <c r="A317" s="27" t="s">
        <v>814</v>
      </c>
      <c r="B317" s="14" t="s">
        <v>374</v>
      </c>
      <c r="C317" s="14" t="s">
        <v>140</v>
      </c>
      <c r="D317" s="14" t="s">
        <v>811</v>
      </c>
      <c r="E317" s="14" t="s">
        <v>271</v>
      </c>
      <c r="F317" s="64">
        <f>G317+H317</f>
        <v>80</v>
      </c>
      <c r="G317" s="64">
        <v>80</v>
      </c>
      <c r="H317" s="64"/>
      <c r="J317" s="153"/>
    </row>
    <row r="318" spans="1:8" ht="35.25" customHeight="1" hidden="1">
      <c r="A318" s="42" t="s">
        <v>554</v>
      </c>
      <c r="B318" s="59" t="s">
        <v>374</v>
      </c>
      <c r="C318" s="59" t="s">
        <v>140</v>
      </c>
      <c r="D318" s="59" t="s">
        <v>304</v>
      </c>
      <c r="E318" s="59" t="s">
        <v>391</v>
      </c>
      <c r="F318" s="112">
        <f>G318</f>
        <v>0</v>
      </c>
      <c r="G318" s="112">
        <f>G319</f>
        <v>0</v>
      </c>
      <c r="H318" s="112"/>
    </row>
    <row r="319" spans="1:8" ht="30" customHeight="1" hidden="1">
      <c r="A319" s="27" t="s">
        <v>555</v>
      </c>
      <c r="B319" s="14" t="s">
        <v>374</v>
      </c>
      <c r="C319" s="14" t="s">
        <v>140</v>
      </c>
      <c r="D319" s="14" t="s">
        <v>556</v>
      </c>
      <c r="E319" s="14" t="s">
        <v>391</v>
      </c>
      <c r="F319" s="64">
        <f>G319</f>
        <v>0</v>
      </c>
      <c r="G319" s="64">
        <f>G320</f>
        <v>0</v>
      </c>
      <c r="H319" s="64"/>
    </row>
    <row r="320" spans="1:8" ht="51" customHeight="1" hidden="1">
      <c r="A320" s="27" t="s">
        <v>203</v>
      </c>
      <c r="B320" s="14" t="s">
        <v>374</v>
      </c>
      <c r="C320" s="14" t="s">
        <v>140</v>
      </c>
      <c r="D320" s="14" t="s">
        <v>556</v>
      </c>
      <c r="E320" s="14" t="s">
        <v>204</v>
      </c>
      <c r="F320" s="64">
        <f>G320</f>
        <v>0</v>
      </c>
      <c r="G320" s="64">
        <f>G321</f>
        <v>0</v>
      </c>
      <c r="H320" s="64"/>
    </row>
    <row r="321" spans="1:8" ht="22.5" customHeight="1" hidden="1">
      <c r="A321" s="27" t="s">
        <v>205</v>
      </c>
      <c r="B321" s="14" t="s">
        <v>374</v>
      </c>
      <c r="C321" s="14" t="s">
        <v>140</v>
      </c>
      <c r="D321" s="14" t="s">
        <v>556</v>
      </c>
      <c r="E321" s="14" t="s">
        <v>271</v>
      </c>
      <c r="F321" s="64">
        <f>G321</f>
        <v>0</v>
      </c>
      <c r="G321" s="64"/>
      <c r="H321" s="64"/>
    </row>
    <row r="322" spans="1:8" ht="46.5" customHeight="1">
      <c r="A322" s="31" t="s">
        <v>452</v>
      </c>
      <c r="B322" s="28" t="s">
        <v>374</v>
      </c>
      <c r="C322" s="28" t="s">
        <v>140</v>
      </c>
      <c r="D322" s="28" t="s">
        <v>26</v>
      </c>
      <c r="E322" s="28" t="s">
        <v>391</v>
      </c>
      <c r="F322" s="65">
        <f>G322+H322</f>
        <v>39469.112</v>
      </c>
      <c r="G322" s="65">
        <v>0</v>
      </c>
      <c r="H322" s="65">
        <f>H323</f>
        <v>39469.112</v>
      </c>
    </row>
    <row r="323" spans="1:8" ht="54.75" customHeight="1">
      <c r="A323" s="32" t="s">
        <v>242</v>
      </c>
      <c r="B323" s="14" t="s">
        <v>374</v>
      </c>
      <c r="C323" s="14" t="s">
        <v>140</v>
      </c>
      <c r="D323" s="14" t="s">
        <v>39</v>
      </c>
      <c r="E323" s="14" t="s">
        <v>391</v>
      </c>
      <c r="F323" s="64">
        <f>G323+H323</f>
        <v>39469.112</v>
      </c>
      <c r="G323" s="64">
        <v>0</v>
      </c>
      <c r="H323" s="64">
        <f>H324</f>
        <v>39469.112</v>
      </c>
    </row>
    <row r="324" spans="1:8" s="148" customFormat="1" ht="81" customHeight="1">
      <c r="A324" s="31" t="s">
        <v>378</v>
      </c>
      <c r="B324" s="28" t="s">
        <v>374</v>
      </c>
      <c r="C324" s="168" t="s">
        <v>140</v>
      </c>
      <c r="D324" s="28" t="s">
        <v>43</v>
      </c>
      <c r="E324" s="28" t="s">
        <v>391</v>
      </c>
      <c r="F324" s="65">
        <f t="shared" si="6"/>
        <v>39469.112</v>
      </c>
      <c r="G324" s="65">
        <f>G325</f>
        <v>0</v>
      </c>
      <c r="H324" s="65">
        <f>H325</f>
        <v>39469.112</v>
      </c>
    </row>
    <row r="325" spans="1:8" ht="51" customHeight="1">
      <c r="A325" s="27" t="s">
        <v>203</v>
      </c>
      <c r="B325" s="14" t="s">
        <v>374</v>
      </c>
      <c r="C325" s="14" t="s">
        <v>140</v>
      </c>
      <c r="D325" s="14" t="s">
        <v>43</v>
      </c>
      <c r="E325" s="14" t="s">
        <v>204</v>
      </c>
      <c r="F325" s="64">
        <f t="shared" si="6"/>
        <v>39469.112</v>
      </c>
      <c r="G325" s="64">
        <v>0</v>
      </c>
      <c r="H325" s="64">
        <f>H326</f>
        <v>39469.112</v>
      </c>
    </row>
    <row r="326" spans="1:8" ht="18.75" customHeight="1">
      <c r="A326" s="27" t="s">
        <v>205</v>
      </c>
      <c r="B326" s="14" t="s">
        <v>374</v>
      </c>
      <c r="C326" s="14" t="s">
        <v>140</v>
      </c>
      <c r="D326" s="14" t="s">
        <v>43</v>
      </c>
      <c r="E326" s="14" t="s">
        <v>271</v>
      </c>
      <c r="F326" s="64">
        <f>G326+H326</f>
        <v>39469.112</v>
      </c>
      <c r="G326" s="64">
        <v>0</v>
      </c>
      <c r="H326" s="64">
        <f>38428.372+1040.74</f>
        <v>39469.112</v>
      </c>
    </row>
    <row r="327" spans="1:8" ht="53.25" customHeight="1" hidden="1">
      <c r="A327" s="27" t="s">
        <v>806</v>
      </c>
      <c r="B327" s="14" t="s">
        <v>374</v>
      </c>
      <c r="C327" s="14" t="s">
        <v>140</v>
      </c>
      <c r="D327" s="14" t="s">
        <v>9</v>
      </c>
      <c r="E327" s="14" t="s">
        <v>391</v>
      </c>
      <c r="F327" s="64">
        <f>G327+H327</f>
        <v>0</v>
      </c>
      <c r="G327" s="64">
        <f>G328</f>
        <v>0</v>
      </c>
      <c r="H327" s="64">
        <f>H328</f>
        <v>0</v>
      </c>
    </row>
    <row r="328" spans="1:8" ht="61.5" customHeight="1" hidden="1">
      <c r="A328" s="27" t="s">
        <v>805</v>
      </c>
      <c r="B328" s="14" t="s">
        <v>374</v>
      </c>
      <c r="C328" s="14" t="s">
        <v>140</v>
      </c>
      <c r="D328" s="14" t="s">
        <v>9</v>
      </c>
      <c r="E328" s="14" t="s">
        <v>204</v>
      </c>
      <c r="F328" s="64">
        <f>F330</f>
        <v>0</v>
      </c>
      <c r="G328" s="64">
        <f>G330</f>
        <v>0</v>
      </c>
      <c r="H328" s="64">
        <f>H330</f>
        <v>0</v>
      </c>
    </row>
    <row r="329" spans="1:8" ht="27.75" customHeight="1" hidden="1">
      <c r="A329" s="27" t="s">
        <v>203</v>
      </c>
      <c r="B329" s="14" t="s">
        <v>374</v>
      </c>
      <c r="C329" s="14" t="s">
        <v>140</v>
      </c>
      <c r="D329" s="14" t="s">
        <v>9</v>
      </c>
      <c r="E329" s="14" t="s">
        <v>204</v>
      </c>
      <c r="F329" s="64"/>
      <c r="G329" s="64"/>
      <c r="H329" s="64"/>
    </row>
    <row r="330" spans="1:8" ht="18.75" customHeight="1" hidden="1">
      <c r="A330" s="27" t="s">
        <v>205</v>
      </c>
      <c r="B330" s="14" t="s">
        <v>374</v>
      </c>
      <c r="C330" s="14" t="s">
        <v>140</v>
      </c>
      <c r="D330" s="14" t="s">
        <v>9</v>
      </c>
      <c r="E330" s="14" t="s">
        <v>271</v>
      </c>
      <c r="F330" s="64">
        <f>G330+H330</f>
        <v>0</v>
      </c>
      <c r="G330" s="64"/>
      <c r="H330" s="64">
        <v>0</v>
      </c>
    </row>
    <row r="331" spans="1:8" ht="36.75" customHeight="1">
      <c r="A331" s="27" t="s">
        <v>143</v>
      </c>
      <c r="B331" s="14" t="s">
        <v>374</v>
      </c>
      <c r="C331" s="14" t="s">
        <v>140</v>
      </c>
      <c r="D331" s="14" t="s">
        <v>8</v>
      </c>
      <c r="E331" s="14" t="s">
        <v>391</v>
      </c>
      <c r="F331" s="64">
        <f>G331</f>
        <v>900</v>
      </c>
      <c r="G331" s="64">
        <f>G332</f>
        <v>900</v>
      </c>
      <c r="H331" s="64"/>
    </row>
    <row r="332" spans="1:8" ht="30.75" customHeight="1">
      <c r="A332" s="27" t="s">
        <v>144</v>
      </c>
      <c r="B332" s="14" t="s">
        <v>374</v>
      </c>
      <c r="C332" s="14" t="s">
        <v>140</v>
      </c>
      <c r="D332" s="14" t="s">
        <v>9</v>
      </c>
      <c r="E332" s="14" t="s">
        <v>391</v>
      </c>
      <c r="F332" s="64">
        <f>G332</f>
        <v>900</v>
      </c>
      <c r="G332" s="64">
        <f>G333</f>
        <v>900</v>
      </c>
      <c r="H332" s="64"/>
    </row>
    <row r="333" spans="1:8" ht="36.75" customHeight="1">
      <c r="A333" s="133" t="s">
        <v>611</v>
      </c>
      <c r="B333" s="14" t="s">
        <v>374</v>
      </c>
      <c r="C333" s="14" t="s">
        <v>140</v>
      </c>
      <c r="D333" s="14" t="s">
        <v>556</v>
      </c>
      <c r="E333" s="14" t="s">
        <v>391</v>
      </c>
      <c r="F333" s="64">
        <f>G333+H333</f>
        <v>900</v>
      </c>
      <c r="G333" s="132">
        <f>G334</f>
        <v>900</v>
      </c>
      <c r="H333" s="64"/>
    </row>
    <row r="334" spans="1:8" ht="30" customHeight="1">
      <c r="A334" s="27" t="s">
        <v>203</v>
      </c>
      <c r="B334" s="14" t="s">
        <v>374</v>
      </c>
      <c r="C334" s="14" t="s">
        <v>140</v>
      </c>
      <c r="D334" s="14" t="s">
        <v>556</v>
      </c>
      <c r="E334" s="14" t="s">
        <v>204</v>
      </c>
      <c r="F334" s="64">
        <f>G334+H334</f>
        <v>900</v>
      </c>
      <c r="G334" s="132">
        <f>G335</f>
        <v>900</v>
      </c>
      <c r="H334" s="64"/>
    </row>
    <row r="335" spans="1:8" ht="18.75" customHeight="1">
      <c r="A335" s="27" t="s">
        <v>205</v>
      </c>
      <c r="B335" s="14" t="s">
        <v>374</v>
      </c>
      <c r="C335" s="14" t="s">
        <v>140</v>
      </c>
      <c r="D335" s="14" t="s">
        <v>556</v>
      </c>
      <c r="E335" s="14" t="s">
        <v>271</v>
      </c>
      <c r="F335" s="64">
        <f>G335+H335</f>
        <v>900</v>
      </c>
      <c r="G335" s="132">
        <v>900</v>
      </c>
      <c r="H335" s="64"/>
    </row>
    <row r="336" spans="1:11" ht="17.25" customHeight="1">
      <c r="A336" s="27" t="s">
        <v>425</v>
      </c>
      <c r="B336" s="14" t="s">
        <v>374</v>
      </c>
      <c r="C336" s="14" t="s">
        <v>142</v>
      </c>
      <c r="D336" s="14" t="s">
        <v>304</v>
      </c>
      <c r="E336" s="14" t="s">
        <v>391</v>
      </c>
      <c r="F336" s="64">
        <f>G336+H336</f>
        <v>307909.03358</v>
      </c>
      <c r="G336" s="64">
        <f>G337+G383</f>
        <v>103209.17258</v>
      </c>
      <c r="H336" s="64">
        <f>H337+H370+H380</f>
        <v>204699.861</v>
      </c>
      <c r="K336" s="153"/>
    </row>
    <row r="337" spans="1:8" s="148" customFormat="1" ht="48" customHeight="1">
      <c r="A337" s="31" t="s">
        <v>452</v>
      </c>
      <c r="B337" s="28" t="s">
        <v>374</v>
      </c>
      <c r="C337" s="28" t="s">
        <v>142</v>
      </c>
      <c r="D337" s="28" t="s">
        <v>26</v>
      </c>
      <c r="E337" s="28" t="s">
        <v>391</v>
      </c>
      <c r="F337" s="65">
        <f t="shared" si="6"/>
        <v>103209.17258</v>
      </c>
      <c r="G337" s="65">
        <f>G338+G354+G361</f>
        <v>103209.17258</v>
      </c>
      <c r="H337" s="65">
        <f>H338+H342+H354+H358+H361</f>
        <v>0</v>
      </c>
    </row>
    <row r="338" spans="1:8" ht="41.25" customHeight="1">
      <c r="A338" s="32" t="s">
        <v>456</v>
      </c>
      <c r="B338" s="14" t="s">
        <v>374</v>
      </c>
      <c r="C338" s="14" t="s">
        <v>142</v>
      </c>
      <c r="D338" s="14" t="s">
        <v>44</v>
      </c>
      <c r="E338" s="14" t="s">
        <v>391</v>
      </c>
      <c r="F338" s="64">
        <f t="shared" si="6"/>
        <v>101608.96699</v>
      </c>
      <c r="G338" s="64">
        <f>G339+G342+G351+G345+G348</f>
        <v>101608.96699</v>
      </c>
      <c r="H338" s="64">
        <f>H339</f>
        <v>0</v>
      </c>
    </row>
    <row r="339" spans="1:8" ht="34.5" customHeight="1">
      <c r="A339" s="27" t="s">
        <v>238</v>
      </c>
      <c r="B339" s="14" t="s">
        <v>374</v>
      </c>
      <c r="C339" s="14" t="s">
        <v>142</v>
      </c>
      <c r="D339" s="14" t="s">
        <v>45</v>
      </c>
      <c r="E339" s="14" t="s">
        <v>391</v>
      </c>
      <c r="F339" s="64">
        <f t="shared" si="6"/>
        <v>10493.338</v>
      </c>
      <c r="G339" s="64">
        <f>G340</f>
        <v>10493.338</v>
      </c>
      <c r="H339" s="64">
        <f>H341</f>
        <v>0</v>
      </c>
    </row>
    <row r="340" spans="1:8" ht="50.25" customHeight="1">
      <c r="A340" s="27" t="s">
        <v>203</v>
      </c>
      <c r="B340" s="14" t="s">
        <v>374</v>
      </c>
      <c r="C340" s="14" t="s">
        <v>142</v>
      </c>
      <c r="D340" s="14" t="s">
        <v>46</v>
      </c>
      <c r="E340" s="14" t="s">
        <v>204</v>
      </c>
      <c r="F340" s="64">
        <f t="shared" si="6"/>
        <v>10493.338</v>
      </c>
      <c r="G340" s="64">
        <f>G341</f>
        <v>10493.338</v>
      </c>
      <c r="H340" s="64"/>
    </row>
    <row r="341" spans="1:8" ht="19.5" customHeight="1">
      <c r="A341" s="27" t="s">
        <v>205</v>
      </c>
      <c r="B341" s="14" t="s">
        <v>374</v>
      </c>
      <c r="C341" s="14" t="s">
        <v>142</v>
      </c>
      <c r="D341" s="14" t="s">
        <v>46</v>
      </c>
      <c r="E341" s="14" t="s">
        <v>271</v>
      </c>
      <c r="F341" s="64">
        <f t="shared" si="6"/>
        <v>10493.338</v>
      </c>
      <c r="G341" s="64">
        <f>700+100+393.313+48.5+210+10268.72-487.046-740.149</f>
        <v>10493.338</v>
      </c>
      <c r="H341" s="64"/>
    </row>
    <row r="342" spans="1:8" ht="95.25" customHeight="1">
      <c r="A342" s="27" t="s">
        <v>870</v>
      </c>
      <c r="B342" s="14" t="s">
        <v>374</v>
      </c>
      <c r="C342" s="14" t="s">
        <v>142</v>
      </c>
      <c r="D342" s="14" t="s">
        <v>45</v>
      </c>
      <c r="E342" s="14" t="s">
        <v>391</v>
      </c>
      <c r="F342" s="64">
        <f t="shared" si="6"/>
        <v>90636.62899</v>
      </c>
      <c r="G342" s="64">
        <f>G343</f>
        <v>90636.62899</v>
      </c>
      <c r="H342" s="64">
        <f>SUM(H343:H344)</f>
        <v>0</v>
      </c>
    </row>
    <row r="343" spans="1:8" ht="49.5" customHeight="1">
      <c r="A343" s="27" t="s">
        <v>203</v>
      </c>
      <c r="B343" s="14" t="s">
        <v>374</v>
      </c>
      <c r="C343" s="14" t="s">
        <v>142</v>
      </c>
      <c r="D343" s="14" t="s">
        <v>47</v>
      </c>
      <c r="E343" s="14" t="s">
        <v>204</v>
      </c>
      <c r="F343" s="64">
        <f t="shared" si="6"/>
        <v>90636.62899</v>
      </c>
      <c r="G343" s="64">
        <f>G344</f>
        <v>90636.62899</v>
      </c>
      <c r="H343" s="64"/>
    </row>
    <row r="344" spans="1:8" ht="19.5" customHeight="1">
      <c r="A344" s="27" t="s">
        <v>205</v>
      </c>
      <c r="B344" s="14" t="s">
        <v>374</v>
      </c>
      <c r="C344" s="14" t="s">
        <v>142</v>
      </c>
      <c r="D344" s="14" t="s">
        <v>47</v>
      </c>
      <c r="E344" s="14" t="s">
        <v>271</v>
      </c>
      <c r="F344" s="64">
        <f t="shared" si="6"/>
        <v>90636.62899</v>
      </c>
      <c r="G344" s="64">
        <f>53288.5+0.03321+7299.18953-2500+30.30302-287.5+4678.14+625.912+11091.4+408-30+3677.01405+12355.63718</f>
        <v>90636.62899</v>
      </c>
      <c r="H344" s="64"/>
    </row>
    <row r="345" spans="1:8" ht="84" customHeight="1">
      <c r="A345" s="27" t="s">
        <v>665</v>
      </c>
      <c r="B345" s="14" t="s">
        <v>374</v>
      </c>
      <c r="C345" s="14" t="s">
        <v>142</v>
      </c>
      <c r="D345" s="14" t="s">
        <v>656</v>
      </c>
      <c r="E345" s="14" t="s">
        <v>391</v>
      </c>
      <c r="F345" s="64">
        <f>G345</f>
        <v>107</v>
      </c>
      <c r="G345" s="64">
        <f>G346</f>
        <v>107</v>
      </c>
      <c r="H345" s="64"/>
    </row>
    <row r="346" spans="1:8" ht="52.5" customHeight="1">
      <c r="A346" s="27" t="s">
        <v>203</v>
      </c>
      <c r="B346" s="14" t="s">
        <v>374</v>
      </c>
      <c r="C346" s="14" t="s">
        <v>142</v>
      </c>
      <c r="D346" s="14" t="s">
        <v>656</v>
      </c>
      <c r="E346" s="14" t="s">
        <v>204</v>
      </c>
      <c r="F346" s="64">
        <f>G346</f>
        <v>107</v>
      </c>
      <c r="G346" s="64">
        <f>G347</f>
        <v>107</v>
      </c>
      <c r="H346" s="64"/>
    </row>
    <row r="347" spans="1:8" ht="19.5" customHeight="1">
      <c r="A347" s="27" t="s">
        <v>205</v>
      </c>
      <c r="B347" s="14" t="s">
        <v>374</v>
      </c>
      <c r="C347" s="14" t="s">
        <v>142</v>
      </c>
      <c r="D347" s="14" t="s">
        <v>656</v>
      </c>
      <c r="E347" s="14" t="s">
        <v>271</v>
      </c>
      <c r="F347" s="64">
        <f>G347</f>
        <v>107</v>
      </c>
      <c r="G347" s="64">
        <f>76+100-69</f>
        <v>107</v>
      </c>
      <c r="H347" s="64"/>
    </row>
    <row r="348" spans="1:8" ht="50.25" customHeight="1">
      <c r="A348" s="27" t="s">
        <v>815</v>
      </c>
      <c r="B348" s="14" t="s">
        <v>374</v>
      </c>
      <c r="C348" s="14" t="s">
        <v>142</v>
      </c>
      <c r="D348" s="14" t="s">
        <v>809</v>
      </c>
      <c r="E348" s="14" t="s">
        <v>391</v>
      </c>
      <c r="F348" s="64">
        <f>G348+H348</f>
        <v>372</v>
      </c>
      <c r="G348" s="64">
        <f>G349</f>
        <v>372</v>
      </c>
      <c r="H348" s="64">
        <f>H349</f>
        <v>0</v>
      </c>
    </row>
    <row r="349" spans="1:8" ht="48.75" customHeight="1">
      <c r="A349" s="27" t="s">
        <v>203</v>
      </c>
      <c r="B349" s="14" t="s">
        <v>374</v>
      </c>
      <c r="C349" s="14" t="s">
        <v>142</v>
      </c>
      <c r="D349" s="14" t="s">
        <v>809</v>
      </c>
      <c r="E349" s="14" t="s">
        <v>204</v>
      </c>
      <c r="F349" s="64">
        <f>G349+H349</f>
        <v>372</v>
      </c>
      <c r="G349" s="64">
        <f>G350</f>
        <v>372</v>
      </c>
      <c r="H349" s="64">
        <f>H350</f>
        <v>0</v>
      </c>
    </row>
    <row r="350" spans="1:8" ht="19.5" customHeight="1">
      <c r="A350" s="27" t="s">
        <v>205</v>
      </c>
      <c r="B350" s="14" t="s">
        <v>374</v>
      </c>
      <c r="C350" s="14" t="s">
        <v>142</v>
      </c>
      <c r="D350" s="14" t="s">
        <v>809</v>
      </c>
      <c r="E350" s="14" t="s">
        <v>271</v>
      </c>
      <c r="F350" s="64">
        <f>G350+H350</f>
        <v>372</v>
      </c>
      <c r="G350" s="64">
        <v>372</v>
      </c>
      <c r="H350" s="64"/>
    </row>
    <row r="351" spans="1:8" ht="30" customHeight="1" hidden="1">
      <c r="A351" s="27" t="s">
        <v>773</v>
      </c>
      <c r="B351" s="14" t="s">
        <v>374</v>
      </c>
      <c r="C351" s="14" t="s">
        <v>142</v>
      </c>
      <c r="D351" s="6" t="s">
        <v>774</v>
      </c>
      <c r="E351" s="14" t="s">
        <v>391</v>
      </c>
      <c r="F351" s="64">
        <f t="shared" si="6"/>
        <v>0</v>
      </c>
      <c r="G351" s="64">
        <f>G352</f>
        <v>0</v>
      </c>
      <c r="H351" s="64">
        <f>H352</f>
        <v>0</v>
      </c>
    </row>
    <row r="352" spans="1:8" ht="51" customHeight="1" hidden="1">
      <c r="A352" s="27" t="s">
        <v>203</v>
      </c>
      <c r="B352" s="14" t="s">
        <v>374</v>
      </c>
      <c r="C352" s="14" t="s">
        <v>142</v>
      </c>
      <c r="D352" s="6" t="s">
        <v>774</v>
      </c>
      <c r="E352" s="14" t="s">
        <v>204</v>
      </c>
      <c r="F352" s="64">
        <f t="shared" si="6"/>
        <v>0</v>
      </c>
      <c r="G352" s="64">
        <f>G353</f>
        <v>0</v>
      </c>
      <c r="H352" s="64">
        <f>H353</f>
        <v>0</v>
      </c>
    </row>
    <row r="353" spans="1:8" ht="25.5" customHeight="1" hidden="1">
      <c r="A353" s="27" t="s">
        <v>205</v>
      </c>
      <c r="B353" s="14" t="s">
        <v>374</v>
      </c>
      <c r="C353" s="14" t="s">
        <v>142</v>
      </c>
      <c r="D353" s="6" t="s">
        <v>774</v>
      </c>
      <c r="E353" s="14" t="s">
        <v>271</v>
      </c>
      <c r="F353" s="64">
        <f t="shared" si="6"/>
        <v>0</v>
      </c>
      <c r="G353" s="64">
        <f>50+68.47928-46-72.47928</f>
        <v>0</v>
      </c>
      <c r="H353" s="132">
        <v>0</v>
      </c>
    </row>
    <row r="354" spans="1:8" ht="33" customHeight="1">
      <c r="A354" s="32" t="s">
        <v>243</v>
      </c>
      <c r="B354" s="14" t="s">
        <v>374</v>
      </c>
      <c r="C354" s="14" t="s">
        <v>142</v>
      </c>
      <c r="D354" s="14" t="s">
        <v>48</v>
      </c>
      <c r="E354" s="14" t="s">
        <v>391</v>
      </c>
      <c r="F354" s="64">
        <f t="shared" si="6"/>
        <v>1600.20559</v>
      </c>
      <c r="G354" s="64">
        <f>G355+G358</f>
        <v>1600.20559</v>
      </c>
      <c r="H354" s="64">
        <f>H355+H358</f>
        <v>0</v>
      </c>
    </row>
    <row r="355" spans="1:8" ht="32.25" customHeight="1">
      <c r="A355" s="31" t="s">
        <v>244</v>
      </c>
      <c r="B355" s="14" t="s">
        <v>374</v>
      </c>
      <c r="C355" s="14" t="s">
        <v>142</v>
      </c>
      <c r="D355" s="14" t="s">
        <v>49</v>
      </c>
      <c r="E355" s="14" t="s">
        <v>391</v>
      </c>
      <c r="F355" s="64">
        <f aca="true" t="shared" si="8" ref="F355:F494">G355+H355</f>
        <v>201.82759</v>
      </c>
      <c r="G355" s="64">
        <f>G356</f>
        <v>201.82759</v>
      </c>
      <c r="H355" s="64">
        <f>H357</f>
        <v>0</v>
      </c>
    </row>
    <row r="356" spans="1:8" ht="48.75" customHeight="1">
      <c r="A356" s="27" t="s">
        <v>203</v>
      </c>
      <c r="B356" s="14" t="s">
        <v>374</v>
      </c>
      <c r="C356" s="14" t="s">
        <v>142</v>
      </c>
      <c r="D356" s="14" t="s">
        <v>50</v>
      </c>
      <c r="E356" s="14" t="s">
        <v>204</v>
      </c>
      <c r="F356" s="64">
        <f t="shared" si="8"/>
        <v>201.82759</v>
      </c>
      <c r="G356" s="64">
        <f>G357</f>
        <v>201.82759</v>
      </c>
      <c r="H356" s="64"/>
    </row>
    <row r="357" spans="1:8" ht="15.75" customHeight="1">
      <c r="A357" s="27" t="s">
        <v>205</v>
      </c>
      <c r="B357" s="14" t="s">
        <v>374</v>
      </c>
      <c r="C357" s="14" t="s">
        <v>142</v>
      </c>
      <c r="D357" s="14" t="s">
        <v>50</v>
      </c>
      <c r="E357" s="14" t="s">
        <v>271</v>
      </c>
      <c r="F357" s="64">
        <f t="shared" si="8"/>
        <v>201.82759</v>
      </c>
      <c r="G357" s="64">
        <f>250-48.17241</f>
        <v>201.82759</v>
      </c>
      <c r="H357" s="64"/>
    </row>
    <row r="358" spans="1:8" ht="33" customHeight="1">
      <c r="A358" s="31" t="s">
        <v>239</v>
      </c>
      <c r="B358" s="14" t="s">
        <v>374</v>
      </c>
      <c r="C358" s="14" t="s">
        <v>142</v>
      </c>
      <c r="D358" s="14" t="s">
        <v>49</v>
      </c>
      <c r="E358" s="14" t="s">
        <v>391</v>
      </c>
      <c r="F358" s="64">
        <f t="shared" si="8"/>
        <v>1398.378</v>
      </c>
      <c r="G358" s="64">
        <f>G359</f>
        <v>1398.378</v>
      </c>
      <c r="H358" s="64">
        <f>H360</f>
        <v>0</v>
      </c>
    </row>
    <row r="359" spans="1:8" ht="50.25" customHeight="1">
      <c r="A359" s="27" t="s">
        <v>203</v>
      </c>
      <c r="B359" s="14" t="s">
        <v>374</v>
      </c>
      <c r="C359" s="14" t="s">
        <v>142</v>
      </c>
      <c r="D359" s="14" t="s">
        <v>51</v>
      </c>
      <c r="E359" s="14" t="s">
        <v>204</v>
      </c>
      <c r="F359" s="64">
        <f t="shared" si="8"/>
        <v>1398.378</v>
      </c>
      <c r="G359" s="64">
        <f>G360</f>
        <v>1398.378</v>
      </c>
      <c r="H359" s="64"/>
    </row>
    <row r="360" spans="1:8" ht="21.75" customHeight="1">
      <c r="A360" s="27" t="s">
        <v>205</v>
      </c>
      <c r="B360" s="14" t="s">
        <v>374</v>
      </c>
      <c r="C360" s="14" t="s">
        <v>142</v>
      </c>
      <c r="D360" s="14" t="s">
        <v>51</v>
      </c>
      <c r="E360" s="14" t="s">
        <v>271</v>
      </c>
      <c r="F360" s="64">
        <f t="shared" si="8"/>
        <v>1398.378</v>
      </c>
      <c r="G360" s="64">
        <f>750+500+69+79.378</f>
        <v>1398.378</v>
      </c>
      <c r="H360" s="64"/>
    </row>
    <row r="361" spans="1:8" ht="33" customHeight="1" hidden="1">
      <c r="A361" s="32" t="s">
        <v>273</v>
      </c>
      <c r="B361" s="14" t="s">
        <v>374</v>
      </c>
      <c r="C361" s="14" t="s">
        <v>142</v>
      </c>
      <c r="D361" s="14" t="s">
        <v>52</v>
      </c>
      <c r="E361" s="14" t="s">
        <v>391</v>
      </c>
      <c r="F361" s="64">
        <f t="shared" si="8"/>
        <v>0</v>
      </c>
      <c r="G361" s="64">
        <f>G362</f>
        <v>0</v>
      </c>
      <c r="H361" s="64">
        <f>H362+H365+H367</f>
        <v>0</v>
      </c>
    </row>
    <row r="362" spans="1:8" ht="33.75" customHeight="1" hidden="1">
      <c r="A362" s="27" t="s">
        <v>126</v>
      </c>
      <c r="B362" s="14" t="s">
        <v>374</v>
      </c>
      <c r="C362" s="14" t="s">
        <v>142</v>
      </c>
      <c r="D362" s="14" t="s">
        <v>53</v>
      </c>
      <c r="E362" s="14" t="s">
        <v>391</v>
      </c>
      <c r="F362" s="64">
        <f t="shared" si="8"/>
        <v>0</v>
      </c>
      <c r="G362" s="64">
        <f>G363</f>
        <v>0</v>
      </c>
      <c r="H362" s="64"/>
    </row>
    <row r="363" spans="1:8" ht="50.25" customHeight="1" hidden="1">
      <c r="A363" s="27" t="s">
        <v>203</v>
      </c>
      <c r="B363" s="14" t="s">
        <v>374</v>
      </c>
      <c r="C363" s="14" t="s">
        <v>142</v>
      </c>
      <c r="D363" s="14" t="s">
        <v>53</v>
      </c>
      <c r="E363" s="14" t="s">
        <v>204</v>
      </c>
      <c r="F363" s="64">
        <f t="shared" si="8"/>
        <v>0</v>
      </c>
      <c r="G363" s="64">
        <f>G364+G365+G366+G367</f>
        <v>0</v>
      </c>
      <c r="H363" s="64"/>
    </row>
    <row r="364" spans="1:8" ht="35.25" customHeight="1" hidden="1">
      <c r="A364" s="27" t="s">
        <v>121</v>
      </c>
      <c r="B364" s="14" t="s">
        <v>374</v>
      </c>
      <c r="C364" s="14" t="s">
        <v>142</v>
      </c>
      <c r="D364" s="14" t="s">
        <v>54</v>
      </c>
      <c r="E364" s="14" t="s">
        <v>271</v>
      </c>
      <c r="F364" s="64">
        <f t="shared" si="8"/>
        <v>0</v>
      </c>
      <c r="G364" s="64"/>
      <c r="H364" s="64"/>
    </row>
    <row r="365" spans="1:8" ht="30.75" hidden="1">
      <c r="A365" s="27" t="s">
        <v>122</v>
      </c>
      <c r="B365" s="14" t="s">
        <v>374</v>
      </c>
      <c r="C365" s="14" t="s">
        <v>142</v>
      </c>
      <c r="D365" s="14" t="s">
        <v>55</v>
      </c>
      <c r="E365" s="14" t="s">
        <v>271</v>
      </c>
      <c r="F365" s="64">
        <f t="shared" si="8"/>
        <v>0</v>
      </c>
      <c r="G365" s="64"/>
      <c r="H365" s="152"/>
    </row>
    <row r="366" spans="1:8" ht="31.5" customHeight="1" hidden="1">
      <c r="A366" s="27" t="s">
        <v>206</v>
      </c>
      <c r="B366" s="14" t="s">
        <v>374</v>
      </c>
      <c r="C366" s="14" t="s">
        <v>142</v>
      </c>
      <c r="D366" s="14" t="s">
        <v>56</v>
      </c>
      <c r="E366" s="14" t="s">
        <v>271</v>
      </c>
      <c r="F366" s="64">
        <f t="shared" si="8"/>
        <v>0</v>
      </c>
      <c r="G366" s="64"/>
      <c r="H366" s="64"/>
    </row>
    <row r="367" spans="1:8" ht="34.5" customHeight="1" hidden="1">
      <c r="A367" s="27" t="s">
        <v>207</v>
      </c>
      <c r="B367" s="14" t="s">
        <v>374</v>
      </c>
      <c r="C367" s="14" t="s">
        <v>142</v>
      </c>
      <c r="D367" s="14" t="s">
        <v>57</v>
      </c>
      <c r="E367" s="14" t="s">
        <v>271</v>
      </c>
      <c r="F367" s="64">
        <f t="shared" si="8"/>
        <v>0</v>
      </c>
      <c r="G367" s="64"/>
      <c r="H367" s="64"/>
    </row>
    <row r="368" spans="1:8" ht="48.75" customHeight="1">
      <c r="A368" s="31" t="s">
        <v>453</v>
      </c>
      <c r="B368" s="28" t="s">
        <v>374</v>
      </c>
      <c r="C368" s="28" t="s">
        <v>142</v>
      </c>
      <c r="D368" s="28" t="s">
        <v>26</v>
      </c>
      <c r="E368" s="28" t="s">
        <v>391</v>
      </c>
      <c r="F368" s="64">
        <f t="shared" si="8"/>
        <v>188085.861</v>
      </c>
      <c r="G368" s="64">
        <f>G369</f>
        <v>0</v>
      </c>
      <c r="H368" s="64">
        <f>H369</f>
        <v>188085.861</v>
      </c>
    </row>
    <row r="369" spans="1:8" ht="32.25" customHeight="1">
      <c r="A369" s="32" t="s">
        <v>456</v>
      </c>
      <c r="B369" s="14" t="s">
        <v>374</v>
      </c>
      <c r="C369" s="14" t="s">
        <v>142</v>
      </c>
      <c r="D369" s="14" t="s">
        <v>44</v>
      </c>
      <c r="E369" s="14" t="s">
        <v>391</v>
      </c>
      <c r="F369" s="64">
        <f t="shared" si="8"/>
        <v>188085.861</v>
      </c>
      <c r="G369" s="64">
        <f>G370</f>
        <v>0</v>
      </c>
      <c r="H369" s="64">
        <f>H370</f>
        <v>188085.861</v>
      </c>
    </row>
    <row r="370" spans="1:8" s="148" customFormat="1" ht="16.5" customHeight="1">
      <c r="A370" s="31" t="s">
        <v>161</v>
      </c>
      <c r="B370" s="28" t="s">
        <v>374</v>
      </c>
      <c r="C370" s="28" t="s">
        <v>142</v>
      </c>
      <c r="D370" s="28" t="s">
        <v>26</v>
      </c>
      <c r="E370" s="28" t="s">
        <v>391</v>
      </c>
      <c r="F370" s="65">
        <f t="shared" si="8"/>
        <v>188085.861</v>
      </c>
      <c r="G370" s="65">
        <f>G371+G377</f>
        <v>0</v>
      </c>
      <c r="H370" s="65">
        <f>H371+H374+H377</f>
        <v>188085.861</v>
      </c>
    </row>
    <row r="371" spans="1:8" s="148" customFormat="1" ht="47.25" customHeight="1">
      <c r="A371" s="31" t="s">
        <v>557</v>
      </c>
      <c r="B371" s="28" t="s">
        <v>374</v>
      </c>
      <c r="C371" s="28" t="s">
        <v>142</v>
      </c>
      <c r="D371" s="28" t="s">
        <v>44</v>
      </c>
      <c r="E371" s="28" t="s">
        <v>391</v>
      </c>
      <c r="F371" s="65">
        <f t="shared" si="8"/>
        <v>7270.9</v>
      </c>
      <c r="G371" s="65">
        <f>G372</f>
        <v>0</v>
      </c>
      <c r="H371" s="65">
        <f>H372</f>
        <v>7270.9</v>
      </c>
    </row>
    <row r="372" spans="1:8" ht="49.5" customHeight="1">
      <c r="A372" s="27" t="s">
        <v>203</v>
      </c>
      <c r="B372" s="14" t="s">
        <v>374</v>
      </c>
      <c r="C372" s="14" t="s">
        <v>142</v>
      </c>
      <c r="D372" s="14" t="s">
        <v>558</v>
      </c>
      <c r="E372" s="14" t="s">
        <v>204</v>
      </c>
      <c r="F372" s="64">
        <f t="shared" si="8"/>
        <v>7270.9</v>
      </c>
      <c r="G372" s="64"/>
      <c r="H372" s="64">
        <f>H373</f>
        <v>7270.9</v>
      </c>
    </row>
    <row r="373" spans="1:8" ht="18" customHeight="1">
      <c r="A373" s="27" t="s">
        <v>205</v>
      </c>
      <c r="B373" s="14" t="s">
        <v>374</v>
      </c>
      <c r="C373" s="14" t="s">
        <v>142</v>
      </c>
      <c r="D373" s="14" t="s">
        <v>558</v>
      </c>
      <c r="E373" s="14" t="s">
        <v>271</v>
      </c>
      <c r="F373" s="64">
        <f t="shared" si="8"/>
        <v>7270.9</v>
      </c>
      <c r="G373" s="64"/>
      <c r="H373" s="64">
        <v>7270.9</v>
      </c>
    </row>
    <row r="374" spans="1:8" ht="80.25" customHeight="1">
      <c r="A374" s="31" t="s">
        <v>757</v>
      </c>
      <c r="B374" s="28" t="s">
        <v>374</v>
      </c>
      <c r="C374" s="28" t="s">
        <v>142</v>
      </c>
      <c r="D374" s="28" t="s">
        <v>758</v>
      </c>
      <c r="E374" s="28" t="s">
        <v>391</v>
      </c>
      <c r="F374" s="65">
        <f>G374+H374</f>
        <v>10876.6</v>
      </c>
      <c r="G374" s="65">
        <v>0</v>
      </c>
      <c r="H374" s="65">
        <f>H375</f>
        <v>10876.6</v>
      </c>
    </row>
    <row r="375" spans="1:8" ht="45" customHeight="1">
      <c r="A375" s="27" t="s">
        <v>203</v>
      </c>
      <c r="B375" s="14" t="s">
        <v>374</v>
      </c>
      <c r="C375" s="14" t="s">
        <v>142</v>
      </c>
      <c r="D375" s="14" t="s">
        <v>758</v>
      </c>
      <c r="E375" s="14" t="s">
        <v>204</v>
      </c>
      <c r="F375" s="64">
        <f>G375+H375</f>
        <v>10876.6</v>
      </c>
      <c r="G375" s="64"/>
      <c r="H375" s="64">
        <f>H376</f>
        <v>10876.6</v>
      </c>
    </row>
    <row r="376" spans="1:8" ht="15" customHeight="1">
      <c r="A376" s="27" t="s">
        <v>205</v>
      </c>
      <c r="B376" s="14" t="s">
        <v>374</v>
      </c>
      <c r="C376" s="14" t="s">
        <v>142</v>
      </c>
      <c r="D376" s="14" t="s">
        <v>758</v>
      </c>
      <c r="E376" s="14" t="s">
        <v>271</v>
      </c>
      <c r="F376" s="64">
        <f>G376+H376</f>
        <v>10876.6</v>
      </c>
      <c r="G376" s="64"/>
      <c r="H376" s="64">
        <f>18147.5-7270.9</f>
        <v>10876.6</v>
      </c>
    </row>
    <row r="377" spans="1:8" s="148" customFormat="1" ht="80.25" customHeight="1">
      <c r="A377" s="31" t="s">
        <v>174</v>
      </c>
      <c r="B377" s="28" t="s">
        <v>374</v>
      </c>
      <c r="C377" s="28" t="s">
        <v>142</v>
      </c>
      <c r="D377" s="28" t="s">
        <v>44</v>
      </c>
      <c r="E377" s="28" t="s">
        <v>391</v>
      </c>
      <c r="F377" s="65">
        <f t="shared" si="8"/>
        <v>169938.361</v>
      </c>
      <c r="G377" s="65">
        <f>G378</f>
        <v>0</v>
      </c>
      <c r="H377" s="65">
        <f>H378</f>
        <v>169938.361</v>
      </c>
    </row>
    <row r="378" spans="1:8" ht="48.75" customHeight="1">
      <c r="A378" s="27" t="s">
        <v>203</v>
      </c>
      <c r="B378" s="14" t="s">
        <v>374</v>
      </c>
      <c r="C378" s="14" t="s">
        <v>142</v>
      </c>
      <c r="D378" s="14" t="s">
        <v>58</v>
      </c>
      <c r="E378" s="14" t="s">
        <v>204</v>
      </c>
      <c r="F378" s="64">
        <f t="shared" si="8"/>
        <v>169938.361</v>
      </c>
      <c r="G378" s="64"/>
      <c r="H378" s="64">
        <f>H379</f>
        <v>169938.361</v>
      </c>
    </row>
    <row r="379" spans="1:8" ht="17.25" customHeight="1">
      <c r="A379" s="27" t="s">
        <v>205</v>
      </c>
      <c r="B379" s="14" t="s">
        <v>374</v>
      </c>
      <c r="C379" s="14" t="s">
        <v>142</v>
      </c>
      <c r="D379" s="14" t="s">
        <v>58</v>
      </c>
      <c r="E379" s="14" t="s">
        <v>271</v>
      </c>
      <c r="F379" s="64">
        <f t="shared" si="8"/>
        <v>169938.361</v>
      </c>
      <c r="G379" s="64"/>
      <c r="H379" s="64">
        <f>161257.823-3185.1+11865.638</f>
        <v>169938.361</v>
      </c>
    </row>
    <row r="380" spans="1:8" ht="97.5" customHeight="1">
      <c r="A380" s="31" t="s">
        <v>751</v>
      </c>
      <c r="B380" s="28" t="s">
        <v>374</v>
      </c>
      <c r="C380" s="28" t="s">
        <v>142</v>
      </c>
      <c r="D380" s="28" t="s">
        <v>759</v>
      </c>
      <c r="E380" s="28" t="s">
        <v>391</v>
      </c>
      <c r="F380" s="65">
        <f aca="true" t="shared" si="9" ref="F380:F387">G380+H380</f>
        <v>16614</v>
      </c>
      <c r="G380" s="65">
        <v>0</v>
      </c>
      <c r="H380" s="65">
        <f>H381</f>
        <v>16614</v>
      </c>
    </row>
    <row r="381" spans="1:8" ht="45.75" customHeight="1">
      <c r="A381" s="27" t="s">
        <v>203</v>
      </c>
      <c r="B381" s="14" t="s">
        <v>374</v>
      </c>
      <c r="C381" s="14" t="s">
        <v>142</v>
      </c>
      <c r="D381" s="14" t="s">
        <v>759</v>
      </c>
      <c r="E381" s="14" t="s">
        <v>204</v>
      </c>
      <c r="F381" s="64">
        <f t="shared" si="9"/>
        <v>16614</v>
      </c>
      <c r="G381" s="64"/>
      <c r="H381" s="64">
        <f>H382</f>
        <v>16614</v>
      </c>
    </row>
    <row r="382" spans="1:8" ht="17.25" customHeight="1">
      <c r="A382" s="27" t="s">
        <v>205</v>
      </c>
      <c r="B382" s="14" t="s">
        <v>374</v>
      </c>
      <c r="C382" s="14" t="s">
        <v>142</v>
      </c>
      <c r="D382" s="14" t="s">
        <v>759</v>
      </c>
      <c r="E382" s="14" t="s">
        <v>271</v>
      </c>
      <c r="F382" s="64">
        <f t="shared" si="9"/>
        <v>16614</v>
      </c>
      <c r="G382" s="64"/>
      <c r="H382" s="64">
        <f>12051+4563</f>
        <v>16614</v>
      </c>
    </row>
    <row r="383" spans="1:8" ht="60" customHeight="1" hidden="1">
      <c r="A383" s="27" t="s">
        <v>807</v>
      </c>
      <c r="B383" s="14" t="s">
        <v>374</v>
      </c>
      <c r="C383" s="14" t="s">
        <v>142</v>
      </c>
      <c r="D383" s="12" t="s">
        <v>9</v>
      </c>
      <c r="E383" s="28" t="s">
        <v>391</v>
      </c>
      <c r="F383" s="64">
        <f t="shared" si="9"/>
        <v>0</v>
      </c>
      <c r="G383" s="64">
        <f>G384</f>
        <v>0</v>
      </c>
      <c r="H383" s="64">
        <f>H384</f>
        <v>0</v>
      </c>
    </row>
    <row r="384" spans="1:8" ht="72" customHeight="1" hidden="1">
      <c r="A384" s="27" t="s">
        <v>805</v>
      </c>
      <c r="B384" s="14" t="s">
        <v>374</v>
      </c>
      <c r="C384" s="14" t="s">
        <v>142</v>
      </c>
      <c r="D384" s="12" t="s">
        <v>9</v>
      </c>
      <c r="E384" s="14" t="s">
        <v>204</v>
      </c>
      <c r="F384" s="64">
        <f t="shared" si="9"/>
        <v>0</v>
      </c>
      <c r="G384" s="64">
        <f>G385</f>
        <v>0</v>
      </c>
      <c r="H384" s="64">
        <f>H385</f>
        <v>0</v>
      </c>
    </row>
    <row r="385" spans="1:8" ht="17.25" customHeight="1" hidden="1">
      <c r="A385" s="27" t="s">
        <v>205</v>
      </c>
      <c r="B385" s="14" t="s">
        <v>374</v>
      </c>
      <c r="C385" s="14" t="s">
        <v>142</v>
      </c>
      <c r="D385" s="12" t="s">
        <v>9</v>
      </c>
      <c r="E385" s="14" t="s">
        <v>271</v>
      </c>
      <c r="F385" s="64">
        <f t="shared" si="9"/>
        <v>0</v>
      </c>
      <c r="G385" s="64">
        <v>0</v>
      </c>
      <c r="H385" s="64"/>
    </row>
    <row r="386" spans="1:10" ht="20.25" customHeight="1">
      <c r="A386" s="31" t="s">
        <v>559</v>
      </c>
      <c r="B386" s="28" t="s">
        <v>374</v>
      </c>
      <c r="C386" s="28" t="s">
        <v>147</v>
      </c>
      <c r="D386" s="28" t="s">
        <v>304</v>
      </c>
      <c r="E386" s="28" t="s">
        <v>391</v>
      </c>
      <c r="F386" s="65">
        <f t="shared" si="9"/>
        <v>38610.420999999995</v>
      </c>
      <c r="G386" s="65">
        <f>G387+G407</f>
        <v>38610.420999999995</v>
      </c>
      <c r="H386" s="65">
        <f>H387</f>
        <v>0</v>
      </c>
      <c r="J386" s="153"/>
    </row>
    <row r="387" spans="1:9" s="148" customFormat="1" ht="48.75" customHeight="1">
      <c r="A387" s="31" t="s">
        <v>453</v>
      </c>
      <c r="B387" s="28" t="s">
        <v>374</v>
      </c>
      <c r="C387" s="28" t="s">
        <v>147</v>
      </c>
      <c r="D387" s="28" t="s">
        <v>26</v>
      </c>
      <c r="E387" s="28" t="s">
        <v>391</v>
      </c>
      <c r="F387" s="65">
        <f t="shared" si="9"/>
        <v>38419.731999999996</v>
      </c>
      <c r="G387" s="65">
        <f>G388+G397</f>
        <v>38419.731999999996</v>
      </c>
      <c r="H387" s="65">
        <f>H397</f>
        <v>0</v>
      </c>
      <c r="I387" s="154"/>
    </row>
    <row r="388" spans="1:8" ht="33.75" customHeight="1">
      <c r="A388" s="32" t="s">
        <v>273</v>
      </c>
      <c r="B388" s="14" t="s">
        <v>374</v>
      </c>
      <c r="C388" s="14" t="s">
        <v>147</v>
      </c>
      <c r="D388" s="14" t="s">
        <v>52</v>
      </c>
      <c r="E388" s="14" t="s">
        <v>391</v>
      </c>
      <c r="F388" s="64">
        <f t="shared" si="8"/>
        <v>38419.731999999996</v>
      </c>
      <c r="G388" s="64">
        <f>G389</f>
        <v>38419.731999999996</v>
      </c>
      <c r="H388" s="64"/>
    </row>
    <row r="389" spans="1:8" ht="30" customHeight="1">
      <c r="A389" s="27" t="s">
        <v>126</v>
      </c>
      <c r="B389" s="14" t="s">
        <v>374</v>
      </c>
      <c r="C389" s="14" t="s">
        <v>147</v>
      </c>
      <c r="D389" s="14" t="s">
        <v>53</v>
      </c>
      <c r="E389" s="14" t="s">
        <v>391</v>
      </c>
      <c r="F389" s="64">
        <f t="shared" si="8"/>
        <v>38419.731999999996</v>
      </c>
      <c r="G389" s="64">
        <f>G390</f>
        <v>38419.731999999996</v>
      </c>
      <c r="H389" s="64"/>
    </row>
    <row r="390" spans="1:8" ht="52.5" customHeight="1">
      <c r="A390" s="27" t="s">
        <v>203</v>
      </c>
      <c r="B390" s="14" t="s">
        <v>374</v>
      </c>
      <c r="C390" s="14" t="s">
        <v>147</v>
      </c>
      <c r="D390" s="14" t="s">
        <v>53</v>
      </c>
      <c r="E390" s="14" t="s">
        <v>204</v>
      </c>
      <c r="F390" s="64">
        <f t="shared" si="8"/>
        <v>38419.731999999996</v>
      </c>
      <c r="G390" s="64">
        <f>G391+G392+G394+G395+G396+G393+G406</f>
        <v>38419.731999999996</v>
      </c>
      <c r="H390" s="64"/>
    </row>
    <row r="391" spans="1:8" ht="36" customHeight="1">
      <c r="A391" s="27" t="s">
        <v>828</v>
      </c>
      <c r="B391" s="14" t="s">
        <v>374</v>
      </c>
      <c r="C391" s="14" t="s">
        <v>147</v>
      </c>
      <c r="D391" s="14" t="s">
        <v>829</v>
      </c>
      <c r="E391" s="14" t="s">
        <v>271</v>
      </c>
      <c r="F391" s="64">
        <f>G391</f>
        <v>2314.152</v>
      </c>
      <c r="G391" s="64">
        <f>800+225+945+96.966+599.999-7.201-345.612</f>
        <v>2314.152</v>
      </c>
      <c r="H391" s="64"/>
    </row>
    <row r="392" spans="1:9" ht="34.5" customHeight="1">
      <c r="A392" s="27" t="s">
        <v>121</v>
      </c>
      <c r="B392" s="14" t="s">
        <v>374</v>
      </c>
      <c r="C392" s="14" t="s">
        <v>147</v>
      </c>
      <c r="D392" s="14" t="s">
        <v>54</v>
      </c>
      <c r="E392" s="14" t="s">
        <v>271</v>
      </c>
      <c r="F392" s="64">
        <f t="shared" si="8"/>
        <v>8094.1212000000005</v>
      </c>
      <c r="G392" s="64">
        <f>3819.1+1302.2+180+1017.8+46+27.7+1003.3212+698</f>
        <v>8094.1212000000005</v>
      </c>
      <c r="H392" s="64"/>
      <c r="I392" s="153"/>
    </row>
    <row r="393" spans="1:9" ht="47.25" customHeight="1">
      <c r="A393" s="27" t="s">
        <v>813</v>
      </c>
      <c r="B393" s="14" t="s">
        <v>374</v>
      </c>
      <c r="C393" s="14" t="s">
        <v>147</v>
      </c>
      <c r="D393" s="14" t="s">
        <v>812</v>
      </c>
      <c r="E393" s="14" t="s">
        <v>271</v>
      </c>
      <c r="F393" s="64">
        <f t="shared" si="8"/>
        <v>48</v>
      </c>
      <c r="G393" s="64">
        <v>48</v>
      </c>
      <c r="H393" s="64"/>
      <c r="I393" s="153"/>
    </row>
    <row r="394" spans="1:9" ht="31.5" customHeight="1">
      <c r="A394" s="27" t="s">
        <v>837</v>
      </c>
      <c r="B394" s="14" t="s">
        <v>374</v>
      </c>
      <c r="C394" s="14" t="s">
        <v>147</v>
      </c>
      <c r="D394" s="14" t="s">
        <v>55</v>
      </c>
      <c r="E394" s="14" t="s">
        <v>271</v>
      </c>
      <c r="F394" s="64">
        <f t="shared" si="8"/>
        <v>14105.28465</v>
      </c>
      <c r="G394" s="64">
        <f>8578.88+2555.1+617-220+850.5+20+503.80465+1200</f>
        <v>14105.28465</v>
      </c>
      <c r="H394" s="64"/>
      <c r="I394" s="153"/>
    </row>
    <row r="395" spans="1:9" ht="36" customHeight="1">
      <c r="A395" s="27" t="s">
        <v>206</v>
      </c>
      <c r="B395" s="14" t="s">
        <v>374</v>
      </c>
      <c r="C395" s="14" t="s">
        <v>147</v>
      </c>
      <c r="D395" s="14" t="s">
        <v>56</v>
      </c>
      <c r="E395" s="14" t="s">
        <v>271</v>
      </c>
      <c r="F395" s="64">
        <f t="shared" si="8"/>
        <v>9231.13384</v>
      </c>
      <c r="G395" s="64">
        <f>4998.16+1893.3+180+530+498.67384+1131</f>
        <v>9231.13384</v>
      </c>
      <c r="H395" s="64"/>
      <c r="I395" s="153"/>
    </row>
    <row r="396" spans="1:9" ht="34.5" customHeight="1">
      <c r="A396" s="27" t="s">
        <v>207</v>
      </c>
      <c r="B396" s="14" t="s">
        <v>374</v>
      </c>
      <c r="C396" s="14" t="s">
        <v>147</v>
      </c>
      <c r="D396" s="14" t="s">
        <v>57</v>
      </c>
      <c r="E396" s="14" t="s">
        <v>271</v>
      </c>
      <c r="F396" s="64">
        <f t="shared" si="8"/>
        <v>4330.040309999999</v>
      </c>
      <c r="G396" s="64">
        <f>2235.64+910.3+100+350+209.10031+525</f>
        <v>4330.040309999999</v>
      </c>
      <c r="H396" s="64"/>
      <c r="I396" s="153"/>
    </row>
    <row r="397" spans="1:9" ht="80.25" customHeight="1" hidden="1">
      <c r="A397" s="42" t="s">
        <v>580</v>
      </c>
      <c r="B397" s="14" t="s">
        <v>374</v>
      </c>
      <c r="C397" s="14" t="s">
        <v>147</v>
      </c>
      <c r="D397" s="14" t="s">
        <v>829</v>
      </c>
      <c r="E397" s="59" t="s">
        <v>391</v>
      </c>
      <c r="F397" s="112">
        <f>G397+H397</f>
        <v>0</v>
      </c>
      <c r="G397" s="112">
        <f>G398+G400</f>
        <v>0</v>
      </c>
      <c r="H397" s="112">
        <f>H398</f>
        <v>0</v>
      </c>
      <c r="I397" s="153"/>
    </row>
    <row r="398" spans="1:9" ht="88.5" customHeight="1" hidden="1">
      <c r="A398" s="27" t="s">
        <v>598</v>
      </c>
      <c r="B398" s="14" t="s">
        <v>374</v>
      </c>
      <c r="C398" s="14" t="s">
        <v>147</v>
      </c>
      <c r="D398" s="14" t="s">
        <v>838</v>
      </c>
      <c r="E398" s="14" t="s">
        <v>391</v>
      </c>
      <c r="F398" s="64">
        <f>G398+H398</f>
        <v>0</v>
      </c>
      <c r="G398" s="64">
        <f>G399</f>
        <v>0</v>
      </c>
      <c r="H398" s="64">
        <f>H399</f>
        <v>0</v>
      </c>
      <c r="I398" s="153"/>
    </row>
    <row r="399" spans="1:9" ht="23.25" customHeight="1" hidden="1">
      <c r="A399" s="27" t="s">
        <v>205</v>
      </c>
      <c r="B399" s="14" t="s">
        <v>374</v>
      </c>
      <c r="C399" s="14" t="s">
        <v>147</v>
      </c>
      <c r="D399" s="14" t="s">
        <v>839</v>
      </c>
      <c r="E399" s="14" t="s">
        <v>204</v>
      </c>
      <c r="F399" s="64">
        <f>G399+H399</f>
        <v>0</v>
      </c>
      <c r="G399" s="64">
        <v>0</v>
      </c>
      <c r="H399" s="64">
        <v>0</v>
      </c>
      <c r="I399" s="153"/>
    </row>
    <row r="400" spans="1:9" ht="111.75" customHeight="1" hidden="1">
      <c r="A400" s="27" t="s">
        <v>581</v>
      </c>
      <c r="B400" s="14" t="s">
        <v>374</v>
      </c>
      <c r="C400" s="14" t="s">
        <v>147</v>
      </c>
      <c r="D400" s="14" t="s">
        <v>840</v>
      </c>
      <c r="E400" s="14" t="s">
        <v>204</v>
      </c>
      <c r="F400" s="64">
        <f aca="true" t="shared" si="10" ref="F400:F405">G400</f>
        <v>0</v>
      </c>
      <c r="G400" s="64">
        <f>G401</f>
        <v>0</v>
      </c>
      <c r="H400" s="64">
        <f>H401</f>
        <v>0</v>
      </c>
      <c r="I400" s="153"/>
    </row>
    <row r="401" spans="1:9" ht="24" customHeight="1" hidden="1">
      <c r="A401" s="27" t="s">
        <v>205</v>
      </c>
      <c r="B401" s="14" t="s">
        <v>374</v>
      </c>
      <c r="C401" s="14" t="s">
        <v>147</v>
      </c>
      <c r="D401" s="14" t="s">
        <v>841</v>
      </c>
      <c r="E401" s="14" t="s">
        <v>271</v>
      </c>
      <c r="F401" s="64">
        <f t="shared" si="10"/>
        <v>0</v>
      </c>
      <c r="G401" s="64">
        <v>0</v>
      </c>
      <c r="H401" s="64">
        <v>0</v>
      </c>
      <c r="I401" s="153"/>
    </row>
    <row r="402" spans="1:9" ht="1.5" customHeight="1" hidden="1">
      <c r="A402" s="42" t="s">
        <v>554</v>
      </c>
      <c r="B402" s="14" t="s">
        <v>374</v>
      </c>
      <c r="C402" s="14" t="s">
        <v>147</v>
      </c>
      <c r="D402" s="14" t="s">
        <v>842</v>
      </c>
      <c r="E402" s="59" t="s">
        <v>391</v>
      </c>
      <c r="F402" s="112">
        <f t="shared" si="10"/>
        <v>0</v>
      </c>
      <c r="G402" s="112">
        <f>G403</f>
        <v>0</v>
      </c>
      <c r="H402" s="112"/>
      <c r="I402" s="153"/>
    </row>
    <row r="403" spans="1:9" ht="34.5" customHeight="1" hidden="1">
      <c r="A403" s="27" t="s">
        <v>560</v>
      </c>
      <c r="B403" s="14" t="s">
        <v>374</v>
      </c>
      <c r="C403" s="14" t="s">
        <v>147</v>
      </c>
      <c r="D403" s="14" t="s">
        <v>843</v>
      </c>
      <c r="E403" s="14" t="s">
        <v>391</v>
      </c>
      <c r="F403" s="64">
        <f t="shared" si="10"/>
        <v>0</v>
      </c>
      <c r="G403" s="64">
        <f>G404</f>
        <v>0</v>
      </c>
      <c r="H403" s="64"/>
      <c r="I403" s="153"/>
    </row>
    <row r="404" spans="1:9" ht="47.25" customHeight="1" hidden="1">
      <c r="A404" s="27" t="s">
        <v>203</v>
      </c>
      <c r="B404" s="14" t="s">
        <v>374</v>
      </c>
      <c r="C404" s="14" t="s">
        <v>147</v>
      </c>
      <c r="D404" s="14" t="s">
        <v>844</v>
      </c>
      <c r="E404" s="14" t="s">
        <v>204</v>
      </c>
      <c r="F404" s="64">
        <f t="shared" si="10"/>
        <v>0</v>
      </c>
      <c r="G404" s="64">
        <f>G405</f>
        <v>0</v>
      </c>
      <c r="H404" s="64"/>
      <c r="I404" s="153"/>
    </row>
    <row r="405" spans="1:9" ht="23.25" customHeight="1" hidden="1">
      <c r="A405" s="27" t="s">
        <v>205</v>
      </c>
      <c r="B405" s="14" t="s">
        <v>374</v>
      </c>
      <c r="C405" s="14" t="s">
        <v>147</v>
      </c>
      <c r="D405" s="14" t="s">
        <v>845</v>
      </c>
      <c r="E405" s="14" t="s">
        <v>271</v>
      </c>
      <c r="F405" s="64">
        <f t="shared" si="10"/>
        <v>0</v>
      </c>
      <c r="G405" s="64"/>
      <c r="H405" s="64"/>
      <c r="I405" s="153"/>
    </row>
    <row r="406" spans="1:9" ht="81.75" customHeight="1">
      <c r="A406" s="27" t="s">
        <v>852</v>
      </c>
      <c r="B406" s="14" t="s">
        <v>374</v>
      </c>
      <c r="C406" s="14" t="s">
        <v>147</v>
      </c>
      <c r="D406" s="14" t="s">
        <v>838</v>
      </c>
      <c r="E406" s="14" t="s">
        <v>271</v>
      </c>
      <c r="F406" s="64">
        <f>G406</f>
        <v>297</v>
      </c>
      <c r="G406" s="64">
        <f>220+46+31</f>
        <v>297</v>
      </c>
      <c r="H406" s="64"/>
      <c r="I406" s="153"/>
    </row>
    <row r="407" spans="1:9" ht="50.25" customHeight="1">
      <c r="A407" s="31" t="s">
        <v>455</v>
      </c>
      <c r="B407" s="28" t="s">
        <v>374</v>
      </c>
      <c r="C407" s="28" t="s">
        <v>147</v>
      </c>
      <c r="D407" s="28" t="s">
        <v>873</v>
      </c>
      <c r="E407" s="28" t="s">
        <v>391</v>
      </c>
      <c r="F407" s="65">
        <f>G407+H407</f>
        <v>190.689</v>
      </c>
      <c r="G407" s="65">
        <f>G408</f>
        <v>190.689</v>
      </c>
      <c r="H407" s="65">
        <f>H408</f>
        <v>0</v>
      </c>
      <c r="I407" s="153"/>
    </row>
    <row r="408" spans="1:9" ht="49.5" customHeight="1">
      <c r="A408" s="27" t="s">
        <v>203</v>
      </c>
      <c r="B408" s="14" t="s">
        <v>374</v>
      </c>
      <c r="C408" s="14" t="s">
        <v>147</v>
      </c>
      <c r="D408" s="14" t="s">
        <v>873</v>
      </c>
      <c r="E408" s="14" t="s">
        <v>204</v>
      </c>
      <c r="F408" s="64">
        <f>G408+H408</f>
        <v>190.689</v>
      </c>
      <c r="G408" s="64">
        <f>G409</f>
        <v>190.689</v>
      </c>
      <c r="H408" s="64">
        <f>H409</f>
        <v>0</v>
      </c>
      <c r="I408" s="153"/>
    </row>
    <row r="409" spans="1:9" ht="18.75" customHeight="1">
      <c r="A409" s="27" t="s">
        <v>205</v>
      </c>
      <c r="B409" s="14" t="s">
        <v>374</v>
      </c>
      <c r="C409" s="14" t="s">
        <v>147</v>
      </c>
      <c r="D409" s="14" t="s">
        <v>873</v>
      </c>
      <c r="E409" s="14" t="s">
        <v>271</v>
      </c>
      <c r="F409" s="64">
        <f>G409+H409</f>
        <v>190.689</v>
      </c>
      <c r="G409" s="64">
        <f>25+87.5+78.189</f>
        <v>190.689</v>
      </c>
      <c r="H409" s="64">
        <v>0</v>
      </c>
      <c r="I409" s="153"/>
    </row>
    <row r="410" spans="1:8" s="148" customFormat="1" ht="48.75" customHeight="1">
      <c r="A410" s="31" t="s">
        <v>453</v>
      </c>
      <c r="B410" s="28" t="s">
        <v>374</v>
      </c>
      <c r="C410" s="28" t="s">
        <v>371</v>
      </c>
      <c r="D410" s="28" t="s">
        <v>26</v>
      </c>
      <c r="E410" s="28" t="s">
        <v>391</v>
      </c>
      <c r="F410" s="65">
        <f t="shared" si="8"/>
        <v>42</v>
      </c>
      <c r="G410" s="65">
        <f>G411</f>
        <v>42</v>
      </c>
      <c r="H410" s="65">
        <f>H411</f>
        <v>0</v>
      </c>
    </row>
    <row r="411" spans="1:8" ht="32.25" customHeight="1">
      <c r="A411" s="32" t="s">
        <v>366</v>
      </c>
      <c r="B411" s="14" t="s">
        <v>374</v>
      </c>
      <c r="C411" s="14" t="s">
        <v>371</v>
      </c>
      <c r="D411" s="14" t="s">
        <v>59</v>
      </c>
      <c r="E411" s="14" t="s">
        <v>391</v>
      </c>
      <c r="F411" s="64">
        <f t="shared" si="8"/>
        <v>42</v>
      </c>
      <c r="G411" s="64">
        <f>G412</f>
        <v>42</v>
      </c>
      <c r="H411" s="64">
        <f>H412</f>
        <v>0</v>
      </c>
    </row>
    <row r="412" spans="1:8" ht="32.25" customHeight="1">
      <c r="A412" s="27" t="s">
        <v>240</v>
      </c>
      <c r="B412" s="14" t="s">
        <v>374</v>
      </c>
      <c r="C412" s="14" t="s">
        <v>371</v>
      </c>
      <c r="D412" s="14" t="s">
        <v>60</v>
      </c>
      <c r="E412" s="14" t="s">
        <v>391</v>
      </c>
      <c r="F412" s="64">
        <f t="shared" si="8"/>
        <v>42</v>
      </c>
      <c r="G412" s="64">
        <f>G413</f>
        <v>42</v>
      </c>
      <c r="H412" s="64">
        <f>H414</f>
        <v>0</v>
      </c>
    </row>
    <row r="413" spans="1:8" ht="49.5" customHeight="1">
      <c r="A413" s="27" t="s">
        <v>203</v>
      </c>
      <c r="B413" s="14" t="s">
        <v>374</v>
      </c>
      <c r="C413" s="14" t="s">
        <v>371</v>
      </c>
      <c r="D413" s="14" t="s">
        <v>60</v>
      </c>
      <c r="E413" s="14" t="s">
        <v>204</v>
      </c>
      <c r="F413" s="64">
        <f t="shared" si="8"/>
        <v>42</v>
      </c>
      <c r="G413" s="64">
        <f>G414</f>
        <v>42</v>
      </c>
      <c r="H413" s="64"/>
    </row>
    <row r="414" spans="1:8" ht="20.25" customHeight="1">
      <c r="A414" s="27" t="s">
        <v>205</v>
      </c>
      <c r="B414" s="14" t="s">
        <v>374</v>
      </c>
      <c r="C414" s="14" t="s">
        <v>371</v>
      </c>
      <c r="D414" s="14" t="s">
        <v>60</v>
      </c>
      <c r="E414" s="14" t="s">
        <v>271</v>
      </c>
      <c r="F414" s="64">
        <f t="shared" si="8"/>
        <v>42</v>
      </c>
      <c r="G414" s="64">
        <f>30+20-8</f>
        <v>42</v>
      </c>
      <c r="H414" s="64"/>
    </row>
    <row r="415" spans="1:8" ht="20.25" customHeight="1">
      <c r="A415" s="31" t="s">
        <v>669</v>
      </c>
      <c r="B415" s="28" t="s">
        <v>374</v>
      </c>
      <c r="C415" s="28" t="s">
        <v>374</v>
      </c>
      <c r="D415" s="28" t="s">
        <v>304</v>
      </c>
      <c r="E415" s="28" t="s">
        <v>391</v>
      </c>
      <c r="F415" s="65">
        <f>G415+H415</f>
        <v>817.13743</v>
      </c>
      <c r="G415" s="65">
        <f>G416</f>
        <v>46.898</v>
      </c>
      <c r="H415" s="65">
        <f>H416</f>
        <v>770.23943</v>
      </c>
    </row>
    <row r="416" spans="1:8" ht="49.5" customHeight="1">
      <c r="A416" s="31" t="s">
        <v>453</v>
      </c>
      <c r="B416" s="28" t="s">
        <v>374</v>
      </c>
      <c r="C416" s="28" t="s">
        <v>374</v>
      </c>
      <c r="D416" s="28" t="s">
        <v>26</v>
      </c>
      <c r="E416" s="28" t="s">
        <v>391</v>
      </c>
      <c r="F416" s="64">
        <f t="shared" si="8"/>
        <v>817.13743</v>
      </c>
      <c r="G416" s="64">
        <f>G417+G423</f>
        <v>46.898</v>
      </c>
      <c r="H416" s="64">
        <f>H417+H423</f>
        <v>770.23943</v>
      </c>
    </row>
    <row r="417" spans="1:8" ht="33.75" customHeight="1">
      <c r="A417" s="32" t="s">
        <v>441</v>
      </c>
      <c r="B417" s="14" t="s">
        <v>374</v>
      </c>
      <c r="C417" s="14" t="s">
        <v>374</v>
      </c>
      <c r="D417" s="14" t="s">
        <v>61</v>
      </c>
      <c r="E417" s="14" t="s">
        <v>391</v>
      </c>
      <c r="F417" s="64">
        <f t="shared" si="8"/>
        <v>817.13743</v>
      </c>
      <c r="G417" s="64">
        <f>G418+G430</f>
        <v>46.898</v>
      </c>
      <c r="H417" s="64">
        <f>H418</f>
        <v>770.23943</v>
      </c>
    </row>
    <row r="418" spans="1:8" s="148" customFormat="1" ht="65.25" customHeight="1">
      <c r="A418" s="31" t="s">
        <v>707</v>
      </c>
      <c r="B418" s="28" t="s">
        <v>374</v>
      </c>
      <c r="C418" s="28" t="s">
        <v>374</v>
      </c>
      <c r="D418" s="28" t="s">
        <v>61</v>
      </c>
      <c r="E418" s="28" t="s">
        <v>391</v>
      </c>
      <c r="F418" s="65">
        <f t="shared" si="8"/>
        <v>770.23943</v>
      </c>
      <c r="G418" s="65"/>
      <c r="H418" s="65">
        <f>H419+H421</f>
        <v>770.23943</v>
      </c>
    </row>
    <row r="419" spans="1:8" ht="33" customHeight="1">
      <c r="A419" s="52" t="s">
        <v>194</v>
      </c>
      <c r="B419" s="14" t="s">
        <v>374</v>
      </c>
      <c r="C419" s="14" t="s">
        <v>374</v>
      </c>
      <c r="D419" s="14" t="s">
        <v>62</v>
      </c>
      <c r="E419" s="14" t="s">
        <v>150</v>
      </c>
      <c r="F419" s="64">
        <f>G419+H419</f>
        <v>0</v>
      </c>
      <c r="G419" s="64"/>
      <c r="H419" s="64">
        <f>H420</f>
        <v>0</v>
      </c>
    </row>
    <row r="420" spans="1:8" ht="33" customHeight="1">
      <c r="A420" s="52" t="s">
        <v>195</v>
      </c>
      <c r="B420" s="14" t="s">
        <v>374</v>
      </c>
      <c r="C420" s="14" t="s">
        <v>374</v>
      </c>
      <c r="D420" s="14" t="s">
        <v>62</v>
      </c>
      <c r="E420" s="14" t="s">
        <v>196</v>
      </c>
      <c r="F420" s="64">
        <f>G420+H420</f>
        <v>0</v>
      </c>
      <c r="G420" s="64"/>
      <c r="H420" s="64"/>
    </row>
    <row r="421" spans="1:8" ht="48.75" customHeight="1">
      <c r="A421" s="52" t="s">
        <v>203</v>
      </c>
      <c r="B421" s="14" t="s">
        <v>374</v>
      </c>
      <c r="C421" s="14" t="s">
        <v>374</v>
      </c>
      <c r="D421" s="14" t="s">
        <v>62</v>
      </c>
      <c r="E421" s="14" t="s">
        <v>204</v>
      </c>
      <c r="F421" s="64">
        <f t="shared" si="8"/>
        <v>770.23943</v>
      </c>
      <c r="G421" s="64"/>
      <c r="H421" s="64">
        <f>H422</f>
        <v>770.23943</v>
      </c>
    </row>
    <row r="422" spans="1:8" ht="17.25" customHeight="1">
      <c r="A422" s="52" t="s">
        <v>205</v>
      </c>
      <c r="B422" s="14" t="s">
        <v>374</v>
      </c>
      <c r="C422" s="14" t="s">
        <v>374</v>
      </c>
      <c r="D422" s="14" t="s">
        <v>62</v>
      </c>
      <c r="E422" s="14" t="s">
        <v>271</v>
      </c>
      <c r="F422" s="64">
        <f t="shared" si="8"/>
        <v>770.23943</v>
      </c>
      <c r="G422" s="64"/>
      <c r="H422" s="64">
        <f>896.82255-300+173.41688</f>
        <v>770.23943</v>
      </c>
    </row>
    <row r="423" spans="1:9" ht="51" customHeight="1" hidden="1">
      <c r="A423" s="42" t="s">
        <v>641</v>
      </c>
      <c r="B423" s="14" t="s">
        <v>374</v>
      </c>
      <c r="C423" s="14" t="s">
        <v>374</v>
      </c>
      <c r="D423" s="59" t="s">
        <v>304</v>
      </c>
      <c r="E423" s="59" t="s">
        <v>391</v>
      </c>
      <c r="F423" s="112">
        <f aca="true" t="shared" si="11" ref="F423:F429">G423+H423</f>
        <v>0</v>
      </c>
      <c r="G423" s="112">
        <f>G427</f>
        <v>0</v>
      </c>
      <c r="H423" s="112">
        <f>H424</f>
        <v>0</v>
      </c>
      <c r="I423" s="153"/>
    </row>
    <row r="424" spans="1:9" ht="82.5" customHeight="1" hidden="1">
      <c r="A424" s="27" t="s">
        <v>650</v>
      </c>
      <c r="B424" s="14" t="s">
        <v>374</v>
      </c>
      <c r="C424" s="14" t="s">
        <v>374</v>
      </c>
      <c r="D424" s="14" t="s">
        <v>659</v>
      </c>
      <c r="E424" s="14" t="s">
        <v>391</v>
      </c>
      <c r="F424" s="64">
        <f t="shared" si="11"/>
        <v>0</v>
      </c>
      <c r="G424" s="64"/>
      <c r="H424" s="64">
        <f>H425</f>
        <v>0</v>
      </c>
      <c r="I424" s="153"/>
    </row>
    <row r="425" spans="1:9" ht="45" customHeight="1" hidden="1">
      <c r="A425" s="27" t="s">
        <v>203</v>
      </c>
      <c r="B425" s="14" t="s">
        <v>374</v>
      </c>
      <c r="C425" s="14" t="s">
        <v>374</v>
      </c>
      <c r="D425" s="14" t="s">
        <v>659</v>
      </c>
      <c r="E425" s="14" t="s">
        <v>204</v>
      </c>
      <c r="F425" s="64">
        <f t="shared" si="11"/>
        <v>0</v>
      </c>
      <c r="G425" s="64"/>
      <c r="H425" s="64">
        <f>H426</f>
        <v>0</v>
      </c>
      <c r="I425" s="153"/>
    </row>
    <row r="426" spans="1:9" ht="23.25" customHeight="1" hidden="1">
      <c r="A426" s="27" t="s">
        <v>205</v>
      </c>
      <c r="B426" s="14" t="s">
        <v>374</v>
      </c>
      <c r="C426" s="14" t="s">
        <v>374</v>
      </c>
      <c r="D426" s="14" t="s">
        <v>659</v>
      </c>
      <c r="E426" s="14" t="s">
        <v>271</v>
      </c>
      <c r="F426" s="64">
        <f t="shared" si="11"/>
        <v>0</v>
      </c>
      <c r="G426" s="64"/>
      <c r="H426" s="64">
        <v>0</v>
      </c>
      <c r="I426" s="153"/>
    </row>
    <row r="427" spans="1:9" ht="93.75" customHeight="1" hidden="1">
      <c r="A427" s="27" t="s">
        <v>651</v>
      </c>
      <c r="B427" s="14" t="s">
        <v>374</v>
      </c>
      <c r="C427" s="14" t="s">
        <v>374</v>
      </c>
      <c r="D427" s="14" t="s">
        <v>710</v>
      </c>
      <c r="E427" s="14" t="s">
        <v>391</v>
      </c>
      <c r="F427" s="64">
        <f t="shared" si="11"/>
        <v>0</v>
      </c>
      <c r="G427" s="64">
        <f>G428</f>
        <v>0</v>
      </c>
      <c r="H427" s="64"/>
      <c r="I427" s="153"/>
    </row>
    <row r="428" spans="1:9" ht="48" customHeight="1" hidden="1">
      <c r="A428" s="27" t="s">
        <v>203</v>
      </c>
      <c r="B428" s="14" t="s">
        <v>374</v>
      </c>
      <c r="C428" s="14" t="s">
        <v>374</v>
      </c>
      <c r="D428" s="14" t="s">
        <v>710</v>
      </c>
      <c r="E428" s="14" t="s">
        <v>204</v>
      </c>
      <c r="F428" s="64">
        <f t="shared" si="11"/>
        <v>0</v>
      </c>
      <c r="G428" s="64">
        <f>G429</f>
        <v>0</v>
      </c>
      <c r="H428" s="64"/>
      <c r="I428" s="153"/>
    </row>
    <row r="429" spans="1:9" ht="23.25" customHeight="1" hidden="1">
      <c r="A429" s="27" t="s">
        <v>205</v>
      </c>
      <c r="B429" s="14" t="s">
        <v>374</v>
      </c>
      <c r="C429" s="14" t="s">
        <v>374</v>
      </c>
      <c r="D429" s="14" t="s">
        <v>710</v>
      </c>
      <c r="E429" s="14" t="s">
        <v>271</v>
      </c>
      <c r="F429" s="64">
        <f t="shared" si="11"/>
        <v>0</v>
      </c>
      <c r="G429" s="64">
        <v>0</v>
      </c>
      <c r="H429" s="64"/>
      <c r="I429" s="153"/>
    </row>
    <row r="430" spans="1:9" ht="66" customHeight="1">
      <c r="A430" s="27" t="s">
        <v>835</v>
      </c>
      <c r="B430" s="14" t="s">
        <v>374</v>
      </c>
      <c r="C430" s="14" t="s">
        <v>374</v>
      </c>
      <c r="D430" s="14" t="s">
        <v>834</v>
      </c>
      <c r="E430" s="14" t="s">
        <v>391</v>
      </c>
      <c r="F430" s="64">
        <f>G430</f>
        <v>46.898</v>
      </c>
      <c r="G430" s="64">
        <f>G431</f>
        <v>46.898</v>
      </c>
      <c r="H430" s="64"/>
      <c r="I430" s="153"/>
    </row>
    <row r="431" spans="1:9" ht="23.25" customHeight="1">
      <c r="A431" s="52" t="s">
        <v>203</v>
      </c>
      <c r="B431" s="14" t="s">
        <v>374</v>
      </c>
      <c r="C431" s="14" t="s">
        <v>374</v>
      </c>
      <c r="D431" s="14" t="s">
        <v>834</v>
      </c>
      <c r="E431" s="14" t="s">
        <v>204</v>
      </c>
      <c r="F431" s="64">
        <f>G431</f>
        <v>46.898</v>
      </c>
      <c r="G431" s="64">
        <f>G432</f>
        <v>46.898</v>
      </c>
      <c r="H431" s="64"/>
      <c r="I431" s="153"/>
    </row>
    <row r="432" spans="1:9" ht="23.25" customHeight="1">
      <c r="A432" s="52" t="s">
        <v>205</v>
      </c>
      <c r="B432" s="14" t="s">
        <v>374</v>
      </c>
      <c r="C432" s="14" t="s">
        <v>374</v>
      </c>
      <c r="D432" s="14" t="s">
        <v>834</v>
      </c>
      <c r="E432" s="14" t="s">
        <v>271</v>
      </c>
      <c r="F432" s="64">
        <f>G432</f>
        <v>46.898</v>
      </c>
      <c r="G432" s="64">
        <v>46.898</v>
      </c>
      <c r="H432" s="64"/>
      <c r="I432" s="153"/>
    </row>
    <row r="433" spans="1:10" s="148" customFormat="1" ht="18" customHeight="1">
      <c r="A433" s="31" t="s">
        <v>350</v>
      </c>
      <c r="B433" s="28" t="s">
        <v>374</v>
      </c>
      <c r="C433" s="28" t="s">
        <v>359</v>
      </c>
      <c r="D433" s="28" t="s">
        <v>304</v>
      </c>
      <c r="E433" s="28" t="s">
        <v>391</v>
      </c>
      <c r="F433" s="65">
        <f t="shared" si="8"/>
        <v>53583.59428</v>
      </c>
      <c r="G433" s="65">
        <f>G434+G448+G451+G458+G464+G473+G469</f>
        <v>51701.09128</v>
      </c>
      <c r="H433" s="65">
        <f>H451+H458+H473</f>
        <v>1882.5029999999997</v>
      </c>
      <c r="J433" s="154"/>
    </row>
    <row r="434" spans="1:8" ht="33.75" customHeight="1">
      <c r="A434" s="32" t="s">
        <v>246</v>
      </c>
      <c r="B434" s="14" t="s">
        <v>374</v>
      </c>
      <c r="C434" s="14" t="s">
        <v>359</v>
      </c>
      <c r="D434" s="14" t="s">
        <v>63</v>
      </c>
      <c r="E434" s="14" t="s">
        <v>391</v>
      </c>
      <c r="F434" s="64">
        <f t="shared" si="8"/>
        <v>44848.80118</v>
      </c>
      <c r="G434" s="64">
        <f>G435+G443</f>
        <v>44848.80118</v>
      </c>
      <c r="H434" s="64">
        <f>H435</f>
        <v>0</v>
      </c>
    </row>
    <row r="435" spans="1:8" ht="50.25" customHeight="1">
      <c r="A435" s="27" t="s">
        <v>65</v>
      </c>
      <c r="B435" s="14" t="s">
        <v>374</v>
      </c>
      <c r="C435" s="14" t="s">
        <v>359</v>
      </c>
      <c r="D435" s="14" t="s">
        <v>64</v>
      </c>
      <c r="E435" s="14" t="s">
        <v>391</v>
      </c>
      <c r="F435" s="64">
        <f t="shared" si="8"/>
        <v>41987.73</v>
      </c>
      <c r="G435" s="64">
        <f>G436+G438+G440</f>
        <v>41987.73</v>
      </c>
      <c r="H435" s="64">
        <f>SUM(H436:H442)</f>
        <v>0</v>
      </c>
    </row>
    <row r="436" spans="1:8" ht="95.25" customHeight="1">
      <c r="A436" s="27" t="s">
        <v>177</v>
      </c>
      <c r="B436" s="14" t="s">
        <v>374</v>
      </c>
      <c r="C436" s="14" t="s">
        <v>359</v>
      </c>
      <c r="D436" s="14" t="s">
        <v>64</v>
      </c>
      <c r="E436" s="14" t="s">
        <v>145</v>
      </c>
      <c r="F436" s="64">
        <f t="shared" si="8"/>
        <v>35670.63</v>
      </c>
      <c r="G436" s="64">
        <f>G437</f>
        <v>35670.63</v>
      </c>
      <c r="H436" s="64"/>
    </row>
    <row r="437" spans="1:9" ht="32.25" customHeight="1">
      <c r="A437" s="27" t="s">
        <v>193</v>
      </c>
      <c r="B437" s="14" t="s">
        <v>374</v>
      </c>
      <c r="C437" s="14" t="s">
        <v>359</v>
      </c>
      <c r="D437" s="14" t="s">
        <v>64</v>
      </c>
      <c r="E437" s="14" t="s">
        <v>152</v>
      </c>
      <c r="F437" s="64">
        <f t="shared" si="8"/>
        <v>35670.63</v>
      </c>
      <c r="G437" s="64">
        <f>34785.63+20+865</f>
        <v>35670.63</v>
      </c>
      <c r="H437" s="115"/>
      <c r="I437" s="149"/>
    </row>
    <row r="438" spans="1:8" ht="33" customHeight="1">
      <c r="A438" s="27" t="s">
        <v>180</v>
      </c>
      <c r="B438" s="14" t="s">
        <v>374</v>
      </c>
      <c r="C438" s="14" t="s">
        <v>359</v>
      </c>
      <c r="D438" s="14" t="s">
        <v>64</v>
      </c>
      <c r="E438" s="14" t="s">
        <v>149</v>
      </c>
      <c r="F438" s="64">
        <f t="shared" si="8"/>
        <v>5978.472000000009</v>
      </c>
      <c r="G438" s="64">
        <f>G439</f>
        <v>5978.472000000009</v>
      </c>
      <c r="H438" s="115"/>
    </row>
    <row r="439" spans="1:9" ht="48.75" customHeight="1">
      <c r="A439" s="52" t="s">
        <v>181</v>
      </c>
      <c r="B439" s="14" t="s">
        <v>374</v>
      </c>
      <c r="C439" s="14" t="s">
        <v>359</v>
      </c>
      <c r="D439" s="14" t="s">
        <v>64</v>
      </c>
      <c r="E439" s="14" t="s">
        <v>182</v>
      </c>
      <c r="F439" s="64">
        <f t="shared" si="8"/>
        <v>5978.472000000009</v>
      </c>
      <c r="G439" s="64">
        <f>40712.73-89.2-34785.63-49.428+210-20</f>
        <v>5978.472000000009</v>
      </c>
      <c r="H439" s="64"/>
      <c r="I439" s="149"/>
    </row>
    <row r="440" spans="1:8" ht="19.5" customHeight="1">
      <c r="A440" s="27" t="s">
        <v>185</v>
      </c>
      <c r="B440" s="14" t="s">
        <v>374</v>
      </c>
      <c r="C440" s="14" t="s">
        <v>359</v>
      </c>
      <c r="D440" s="14" t="s">
        <v>64</v>
      </c>
      <c r="E440" s="14" t="s">
        <v>186</v>
      </c>
      <c r="F440" s="64">
        <f t="shared" si="8"/>
        <v>338.628</v>
      </c>
      <c r="G440" s="64">
        <f>G441+G442</f>
        <v>338.628</v>
      </c>
      <c r="H440" s="64"/>
    </row>
    <row r="441" spans="1:8" ht="19.5" customHeight="1" hidden="1">
      <c r="A441" s="27" t="s">
        <v>189</v>
      </c>
      <c r="B441" s="14" t="s">
        <v>374</v>
      </c>
      <c r="C441" s="14" t="s">
        <v>359</v>
      </c>
      <c r="D441" s="14" t="s">
        <v>64</v>
      </c>
      <c r="E441" s="14" t="s">
        <v>190</v>
      </c>
      <c r="F441" s="64">
        <f>G441</f>
        <v>0</v>
      </c>
      <c r="G441" s="64"/>
      <c r="H441" s="64"/>
    </row>
    <row r="442" spans="1:8" ht="19.5" customHeight="1">
      <c r="A442" s="27" t="s">
        <v>183</v>
      </c>
      <c r="B442" s="14" t="s">
        <v>374</v>
      </c>
      <c r="C442" s="14" t="s">
        <v>359</v>
      </c>
      <c r="D442" s="14" t="s">
        <v>64</v>
      </c>
      <c r="E442" s="14" t="s">
        <v>184</v>
      </c>
      <c r="F442" s="64">
        <f>G442+H442</f>
        <v>338.628</v>
      </c>
      <c r="G442" s="64">
        <f>89.2+200+49.428</f>
        <v>338.628</v>
      </c>
      <c r="H442" s="64"/>
    </row>
    <row r="443" spans="1:8" ht="65.25" customHeight="1">
      <c r="A443" s="32" t="s">
        <v>517</v>
      </c>
      <c r="B443" s="14" t="s">
        <v>374</v>
      </c>
      <c r="C443" s="14" t="s">
        <v>359</v>
      </c>
      <c r="D443" s="14" t="s">
        <v>64</v>
      </c>
      <c r="E443" s="14" t="s">
        <v>391</v>
      </c>
      <c r="F443" s="64">
        <f>G443</f>
        <v>2861.071180000001</v>
      </c>
      <c r="G443" s="64">
        <f>G444+G446</f>
        <v>2861.071180000001</v>
      </c>
      <c r="H443" s="152"/>
    </row>
    <row r="444" spans="1:8" ht="93.75" customHeight="1">
      <c r="A444" s="27" t="s">
        <v>177</v>
      </c>
      <c r="B444" s="14" t="s">
        <v>374</v>
      </c>
      <c r="C444" s="14" t="s">
        <v>359</v>
      </c>
      <c r="D444" s="14" t="s">
        <v>64</v>
      </c>
      <c r="E444" s="14" t="s">
        <v>145</v>
      </c>
      <c r="F444" s="64">
        <f>G444</f>
        <v>2843.723180000001</v>
      </c>
      <c r="G444" s="64">
        <f>G445</f>
        <v>2843.723180000001</v>
      </c>
      <c r="H444" s="152"/>
    </row>
    <row r="445" spans="1:8" ht="33" customHeight="1">
      <c r="A445" s="27" t="s">
        <v>193</v>
      </c>
      <c r="B445" s="14" t="s">
        <v>374</v>
      </c>
      <c r="C445" s="14" t="s">
        <v>359</v>
      </c>
      <c r="D445" s="14" t="s">
        <v>64</v>
      </c>
      <c r="E445" s="14" t="s">
        <v>152</v>
      </c>
      <c r="F445" s="64">
        <f>G445</f>
        <v>2843.723180000001</v>
      </c>
      <c r="G445" s="64">
        <f>1630.957+1338.5+32-142.44476-10.095-43.60257+26.33336+12.07515</f>
        <v>2843.723180000001</v>
      </c>
      <c r="H445" s="152"/>
    </row>
    <row r="446" spans="1:8" ht="33.75" customHeight="1">
      <c r="A446" s="27" t="s">
        <v>180</v>
      </c>
      <c r="B446" s="14" t="s">
        <v>374</v>
      </c>
      <c r="C446" s="14" t="s">
        <v>359</v>
      </c>
      <c r="D446" s="14" t="s">
        <v>64</v>
      </c>
      <c r="E446" s="14" t="s">
        <v>149</v>
      </c>
      <c r="F446" s="64">
        <f>G446</f>
        <v>17.348</v>
      </c>
      <c r="G446" s="64">
        <f>G447</f>
        <v>17.348</v>
      </c>
      <c r="H446" s="152"/>
    </row>
    <row r="447" spans="1:8" ht="47.25" customHeight="1">
      <c r="A447" s="52" t="s">
        <v>181</v>
      </c>
      <c r="B447" s="14" t="s">
        <v>374</v>
      </c>
      <c r="C447" s="14" t="s">
        <v>359</v>
      </c>
      <c r="D447" s="14" t="s">
        <v>64</v>
      </c>
      <c r="E447" s="14" t="s">
        <v>182</v>
      </c>
      <c r="F447" s="64">
        <f>G447</f>
        <v>17.348</v>
      </c>
      <c r="G447" s="64">
        <f>90-32-10-30.652</f>
        <v>17.348</v>
      </c>
      <c r="H447" s="152"/>
    </row>
    <row r="448" spans="1:8" ht="33.75" customHeight="1">
      <c r="A448" s="32" t="s">
        <v>28</v>
      </c>
      <c r="B448" s="14" t="s">
        <v>374</v>
      </c>
      <c r="C448" s="14" t="s">
        <v>359</v>
      </c>
      <c r="D448" s="6" t="s">
        <v>27</v>
      </c>
      <c r="E448" s="14" t="s">
        <v>391</v>
      </c>
      <c r="F448" s="64">
        <f>G448+H448</f>
        <v>111</v>
      </c>
      <c r="G448" s="64">
        <f>G449</f>
        <v>111</v>
      </c>
      <c r="H448" s="116"/>
    </row>
    <row r="449" spans="1:8" ht="33" customHeight="1">
      <c r="A449" s="27" t="s">
        <v>180</v>
      </c>
      <c r="B449" s="14" t="s">
        <v>374</v>
      </c>
      <c r="C449" s="14" t="s">
        <v>359</v>
      </c>
      <c r="D449" s="6" t="s">
        <v>29</v>
      </c>
      <c r="E449" s="14" t="s">
        <v>149</v>
      </c>
      <c r="F449" s="64">
        <f>G449+H449</f>
        <v>111</v>
      </c>
      <c r="G449" s="64">
        <f>G450</f>
        <v>111</v>
      </c>
      <c r="H449" s="64"/>
    </row>
    <row r="450" spans="1:8" ht="51" customHeight="1">
      <c r="A450" s="52" t="s">
        <v>181</v>
      </c>
      <c r="B450" s="14" t="s">
        <v>374</v>
      </c>
      <c r="C450" s="14" t="s">
        <v>359</v>
      </c>
      <c r="D450" s="6" t="s">
        <v>30</v>
      </c>
      <c r="E450" s="14" t="s">
        <v>182</v>
      </c>
      <c r="F450" s="64">
        <f>G450+H450</f>
        <v>111</v>
      </c>
      <c r="G450" s="132">
        <v>111</v>
      </c>
      <c r="H450" s="64"/>
    </row>
    <row r="451" spans="1:8" s="148" customFormat="1" ht="63" customHeight="1">
      <c r="A451" s="31" t="s">
        <v>454</v>
      </c>
      <c r="B451" s="28" t="s">
        <v>374</v>
      </c>
      <c r="C451" s="28" t="s">
        <v>359</v>
      </c>
      <c r="D451" s="28" t="s">
        <v>66</v>
      </c>
      <c r="E451" s="28" t="s">
        <v>391</v>
      </c>
      <c r="F451" s="65">
        <f t="shared" si="8"/>
        <v>569.0791</v>
      </c>
      <c r="G451" s="65">
        <f>G452+G455</f>
        <v>569.0791</v>
      </c>
      <c r="H451" s="65">
        <f>H452</f>
        <v>0</v>
      </c>
    </row>
    <row r="452" spans="1:8" ht="18" customHeight="1">
      <c r="A452" s="27" t="s">
        <v>383</v>
      </c>
      <c r="B452" s="14" t="s">
        <v>374</v>
      </c>
      <c r="C452" s="14" t="s">
        <v>359</v>
      </c>
      <c r="D452" s="14" t="s">
        <v>67</v>
      </c>
      <c r="E452" s="14" t="s">
        <v>391</v>
      </c>
      <c r="F452" s="64">
        <f t="shared" si="8"/>
        <v>380</v>
      </c>
      <c r="G452" s="64">
        <f>G453</f>
        <v>380</v>
      </c>
      <c r="H452" s="64"/>
    </row>
    <row r="453" spans="1:8" ht="37.5" customHeight="1">
      <c r="A453" s="27" t="s">
        <v>180</v>
      </c>
      <c r="B453" s="14" t="s">
        <v>374</v>
      </c>
      <c r="C453" s="14" t="s">
        <v>359</v>
      </c>
      <c r="D453" s="14" t="s">
        <v>68</v>
      </c>
      <c r="E453" s="14" t="s">
        <v>149</v>
      </c>
      <c r="F453" s="64">
        <f t="shared" si="8"/>
        <v>380</v>
      </c>
      <c r="G453" s="64">
        <f>G454</f>
        <v>380</v>
      </c>
      <c r="H453" s="64"/>
    </row>
    <row r="454" spans="1:8" ht="50.25" customHeight="1">
      <c r="A454" s="52" t="s">
        <v>181</v>
      </c>
      <c r="B454" s="14" t="s">
        <v>374</v>
      </c>
      <c r="C454" s="14" t="s">
        <v>359</v>
      </c>
      <c r="D454" s="14" t="s">
        <v>68</v>
      </c>
      <c r="E454" s="14" t="s">
        <v>182</v>
      </c>
      <c r="F454" s="64">
        <f t="shared" si="8"/>
        <v>380</v>
      </c>
      <c r="G454" s="64">
        <f>380</f>
        <v>380</v>
      </c>
      <c r="H454" s="64"/>
    </row>
    <row r="455" spans="1:8" ht="33" customHeight="1">
      <c r="A455" s="27" t="s">
        <v>126</v>
      </c>
      <c r="B455" s="14" t="s">
        <v>374</v>
      </c>
      <c r="C455" s="14" t="s">
        <v>359</v>
      </c>
      <c r="D455" s="14" t="s">
        <v>69</v>
      </c>
      <c r="E455" s="14" t="s">
        <v>391</v>
      </c>
      <c r="F455" s="64">
        <f t="shared" si="8"/>
        <v>189.0791</v>
      </c>
      <c r="G455" s="64">
        <f>G456</f>
        <v>189.0791</v>
      </c>
      <c r="H455" s="64"/>
    </row>
    <row r="456" spans="1:8" ht="49.5" customHeight="1">
      <c r="A456" s="27" t="s">
        <v>203</v>
      </c>
      <c r="B456" s="14" t="s">
        <v>374</v>
      </c>
      <c r="C456" s="14" t="s">
        <v>359</v>
      </c>
      <c r="D456" s="14" t="s">
        <v>69</v>
      </c>
      <c r="E456" s="14" t="s">
        <v>204</v>
      </c>
      <c r="F456" s="64">
        <f t="shared" si="8"/>
        <v>189.0791</v>
      </c>
      <c r="G456" s="64">
        <f>G457</f>
        <v>189.0791</v>
      </c>
      <c r="H456" s="64"/>
    </row>
    <row r="457" spans="1:8" ht="16.5" customHeight="1">
      <c r="A457" s="27" t="s">
        <v>205</v>
      </c>
      <c r="B457" s="14" t="s">
        <v>374</v>
      </c>
      <c r="C457" s="14" t="s">
        <v>359</v>
      </c>
      <c r="D457" s="14" t="s">
        <v>69</v>
      </c>
      <c r="E457" s="14" t="s">
        <v>271</v>
      </c>
      <c r="F457" s="64">
        <f t="shared" si="8"/>
        <v>189.0791</v>
      </c>
      <c r="G457" s="64">
        <f>218-28.9209</f>
        <v>189.0791</v>
      </c>
      <c r="H457" s="64"/>
    </row>
    <row r="458" spans="1:8" s="148" customFormat="1" ht="64.5" customHeight="1">
      <c r="A458" s="31" t="s">
        <v>466</v>
      </c>
      <c r="B458" s="28" t="s">
        <v>374</v>
      </c>
      <c r="C458" s="28" t="s">
        <v>359</v>
      </c>
      <c r="D458" s="28" t="s">
        <v>33</v>
      </c>
      <c r="E458" s="28" t="s">
        <v>391</v>
      </c>
      <c r="F458" s="65">
        <f t="shared" si="8"/>
        <v>1933.311</v>
      </c>
      <c r="G458" s="65">
        <f>G459</f>
        <v>1933.311</v>
      </c>
      <c r="H458" s="65">
        <f>H459</f>
        <v>0</v>
      </c>
    </row>
    <row r="459" spans="1:8" ht="19.5" customHeight="1">
      <c r="A459" s="27" t="s">
        <v>383</v>
      </c>
      <c r="B459" s="14" t="s">
        <v>374</v>
      </c>
      <c r="C459" s="14" t="s">
        <v>359</v>
      </c>
      <c r="D459" s="14" t="s">
        <v>34</v>
      </c>
      <c r="E459" s="14" t="s">
        <v>391</v>
      </c>
      <c r="F459" s="64">
        <f t="shared" si="8"/>
        <v>1933.311</v>
      </c>
      <c r="G459" s="64">
        <f>G460+G462</f>
        <v>1933.311</v>
      </c>
      <c r="H459" s="64">
        <f>H460</f>
        <v>0</v>
      </c>
    </row>
    <row r="460" spans="1:8" ht="38.25" customHeight="1">
      <c r="A460" s="27" t="s">
        <v>180</v>
      </c>
      <c r="B460" s="14" t="s">
        <v>374</v>
      </c>
      <c r="C460" s="14" t="s">
        <v>359</v>
      </c>
      <c r="D460" s="14" t="s">
        <v>70</v>
      </c>
      <c r="E460" s="14" t="s">
        <v>149</v>
      </c>
      <c r="F460" s="64">
        <f t="shared" si="8"/>
        <v>4</v>
      </c>
      <c r="G460" s="64">
        <f>G461</f>
        <v>4</v>
      </c>
      <c r="H460" s="64"/>
    </row>
    <row r="461" spans="1:8" ht="48.75" customHeight="1">
      <c r="A461" s="52" t="s">
        <v>181</v>
      </c>
      <c r="B461" s="14" t="s">
        <v>374</v>
      </c>
      <c r="C461" s="14" t="s">
        <v>359</v>
      </c>
      <c r="D461" s="14" t="s">
        <v>70</v>
      </c>
      <c r="E461" s="14" t="s">
        <v>182</v>
      </c>
      <c r="F461" s="64">
        <f t="shared" si="8"/>
        <v>4</v>
      </c>
      <c r="G461" s="64">
        <f>134-130</f>
        <v>4</v>
      </c>
      <c r="H461" s="64"/>
    </row>
    <row r="462" spans="1:8" ht="48.75" customHeight="1">
      <c r="A462" s="27" t="s">
        <v>203</v>
      </c>
      <c r="B462" s="14" t="s">
        <v>374</v>
      </c>
      <c r="C462" s="14" t="s">
        <v>359</v>
      </c>
      <c r="D462" s="14" t="s">
        <v>70</v>
      </c>
      <c r="E462" s="14" t="s">
        <v>204</v>
      </c>
      <c r="F462" s="64">
        <f>G462</f>
        <v>1929.311</v>
      </c>
      <c r="G462" s="64">
        <f>G463</f>
        <v>1929.311</v>
      </c>
      <c r="H462" s="64"/>
    </row>
    <row r="463" spans="1:8" ht="20.25" customHeight="1">
      <c r="A463" s="27" t="s">
        <v>205</v>
      </c>
      <c r="B463" s="14" t="s">
        <v>374</v>
      </c>
      <c r="C463" s="14" t="s">
        <v>359</v>
      </c>
      <c r="D463" s="14" t="s">
        <v>70</v>
      </c>
      <c r="E463" s="14" t="s">
        <v>271</v>
      </c>
      <c r="F463" s="64">
        <f>G463</f>
        <v>1929.311</v>
      </c>
      <c r="G463" s="64">
        <f>120+2000-112.5-78.189</f>
        <v>1929.311</v>
      </c>
      <c r="H463" s="64"/>
    </row>
    <row r="464" spans="1:8" ht="78" customHeight="1">
      <c r="A464" s="46" t="s">
        <v>506</v>
      </c>
      <c r="B464" s="28" t="s">
        <v>374</v>
      </c>
      <c r="C464" s="28" t="s">
        <v>359</v>
      </c>
      <c r="D464" s="28" t="s">
        <v>504</v>
      </c>
      <c r="E464" s="28" t="s">
        <v>391</v>
      </c>
      <c r="F464" s="65">
        <f aca="true" t="shared" si="12" ref="F464:F472">G464</f>
        <v>1103.2</v>
      </c>
      <c r="G464" s="65">
        <f>G465+G467</f>
        <v>1103.2</v>
      </c>
      <c r="H464" s="65"/>
    </row>
    <row r="465" spans="1:8" ht="39" customHeight="1">
      <c r="A465" s="27" t="s">
        <v>180</v>
      </c>
      <c r="B465" s="14" t="s">
        <v>374</v>
      </c>
      <c r="C465" s="14" t="s">
        <v>359</v>
      </c>
      <c r="D465" s="14" t="s">
        <v>833</v>
      </c>
      <c r="E465" s="14" t="s">
        <v>149</v>
      </c>
      <c r="F465" s="64">
        <f>G465</f>
        <v>158</v>
      </c>
      <c r="G465" s="64">
        <f>G466</f>
        <v>158</v>
      </c>
      <c r="H465" s="64"/>
    </row>
    <row r="466" spans="1:8" ht="53.25" customHeight="1">
      <c r="A466" s="52" t="s">
        <v>181</v>
      </c>
      <c r="B466" s="14" t="s">
        <v>374</v>
      </c>
      <c r="C466" s="14" t="s">
        <v>359</v>
      </c>
      <c r="D466" s="14" t="s">
        <v>833</v>
      </c>
      <c r="E466" s="14" t="s">
        <v>182</v>
      </c>
      <c r="F466" s="64">
        <f>G466</f>
        <v>158</v>
      </c>
      <c r="G466" s="64">
        <v>158</v>
      </c>
      <c r="H466" s="64"/>
    </row>
    <row r="467" spans="1:8" ht="46.5" customHeight="1">
      <c r="A467" s="27" t="s">
        <v>203</v>
      </c>
      <c r="B467" s="14" t="s">
        <v>374</v>
      </c>
      <c r="C467" s="14" t="s">
        <v>359</v>
      </c>
      <c r="D467" s="14" t="s">
        <v>505</v>
      </c>
      <c r="E467" s="14" t="s">
        <v>204</v>
      </c>
      <c r="F467" s="64">
        <f t="shared" si="12"/>
        <v>945.2</v>
      </c>
      <c r="G467" s="64">
        <f>G468</f>
        <v>945.2</v>
      </c>
      <c r="H467" s="64"/>
    </row>
    <row r="468" spans="1:8" ht="18" customHeight="1">
      <c r="A468" s="27" t="s">
        <v>205</v>
      </c>
      <c r="B468" s="14" t="s">
        <v>374</v>
      </c>
      <c r="C468" s="14" t="s">
        <v>359</v>
      </c>
      <c r="D468" s="14" t="s">
        <v>505</v>
      </c>
      <c r="E468" s="14" t="s">
        <v>271</v>
      </c>
      <c r="F468" s="64">
        <f t="shared" si="12"/>
        <v>945.2</v>
      </c>
      <c r="G468" s="64">
        <f>1215-61.8-50-158</f>
        <v>945.2</v>
      </c>
      <c r="H468" s="64"/>
    </row>
    <row r="469" spans="1:8" ht="51" customHeight="1" hidden="1">
      <c r="A469" s="46" t="s">
        <v>415</v>
      </c>
      <c r="B469" s="28" t="s">
        <v>374</v>
      </c>
      <c r="C469" s="28" t="s">
        <v>359</v>
      </c>
      <c r="D469" s="28" t="s">
        <v>36</v>
      </c>
      <c r="E469" s="28" t="s">
        <v>391</v>
      </c>
      <c r="F469" s="65">
        <f t="shared" si="12"/>
        <v>0</v>
      </c>
      <c r="G469" s="65">
        <f>G470</f>
        <v>0</v>
      </c>
      <c r="H469" s="65"/>
    </row>
    <row r="470" spans="1:8" ht="36.75" customHeight="1" hidden="1">
      <c r="A470" s="52" t="s">
        <v>180</v>
      </c>
      <c r="B470" s="14" t="s">
        <v>374</v>
      </c>
      <c r="C470" s="14" t="s">
        <v>359</v>
      </c>
      <c r="D470" s="14" t="s">
        <v>477</v>
      </c>
      <c r="E470" s="14" t="s">
        <v>149</v>
      </c>
      <c r="F470" s="64">
        <f t="shared" si="12"/>
        <v>0</v>
      </c>
      <c r="G470" s="64">
        <f>G471+G472</f>
        <v>0</v>
      </c>
      <c r="H470" s="64"/>
    </row>
    <row r="471" spans="1:8" ht="64.5" customHeight="1" hidden="1">
      <c r="A471" s="52" t="s">
        <v>582</v>
      </c>
      <c r="B471" s="14" t="s">
        <v>374</v>
      </c>
      <c r="C471" s="14" t="s">
        <v>359</v>
      </c>
      <c r="D471" s="14" t="s">
        <v>508</v>
      </c>
      <c r="E471" s="14" t="s">
        <v>182</v>
      </c>
      <c r="F471" s="64">
        <f t="shared" si="12"/>
        <v>0</v>
      </c>
      <c r="G471" s="64">
        <v>0</v>
      </c>
      <c r="H471" s="64"/>
    </row>
    <row r="472" spans="1:8" ht="48" customHeight="1" hidden="1">
      <c r="A472" s="52" t="s">
        <v>583</v>
      </c>
      <c r="B472" s="14" t="s">
        <v>374</v>
      </c>
      <c r="C472" s="14" t="s">
        <v>359</v>
      </c>
      <c r="D472" s="14" t="s">
        <v>509</v>
      </c>
      <c r="E472" s="14" t="s">
        <v>182</v>
      </c>
      <c r="F472" s="64">
        <f t="shared" si="12"/>
        <v>0</v>
      </c>
      <c r="G472" s="64">
        <v>0</v>
      </c>
      <c r="H472" s="64"/>
    </row>
    <row r="473" spans="1:8" ht="36" customHeight="1">
      <c r="A473" s="27" t="s">
        <v>143</v>
      </c>
      <c r="B473" s="14" t="s">
        <v>374</v>
      </c>
      <c r="C473" s="14" t="s">
        <v>359</v>
      </c>
      <c r="D473" s="14" t="s">
        <v>8</v>
      </c>
      <c r="E473" s="14" t="s">
        <v>391</v>
      </c>
      <c r="F473" s="64">
        <f t="shared" si="8"/>
        <v>5018.2029999999995</v>
      </c>
      <c r="G473" s="64">
        <f>G474+G480</f>
        <v>3135.7</v>
      </c>
      <c r="H473" s="64">
        <f>H474</f>
        <v>1882.5029999999997</v>
      </c>
    </row>
    <row r="474" spans="1:8" ht="45.75" customHeight="1">
      <c r="A474" s="27" t="s">
        <v>144</v>
      </c>
      <c r="B474" s="14" t="s">
        <v>374</v>
      </c>
      <c r="C474" s="14" t="s">
        <v>359</v>
      </c>
      <c r="D474" s="14" t="s">
        <v>9</v>
      </c>
      <c r="E474" s="14" t="s">
        <v>391</v>
      </c>
      <c r="F474" s="64">
        <f t="shared" si="8"/>
        <v>4700.7029999999995</v>
      </c>
      <c r="G474" s="64">
        <f>G475</f>
        <v>2818.2</v>
      </c>
      <c r="H474" s="64">
        <f>H475+H483</f>
        <v>1882.5029999999997</v>
      </c>
    </row>
    <row r="475" spans="1:10" ht="51" customHeight="1">
      <c r="A475" s="27" t="s">
        <v>148</v>
      </c>
      <c r="B475" s="14" t="s">
        <v>374</v>
      </c>
      <c r="C475" s="14" t="s">
        <v>359</v>
      </c>
      <c r="D475" s="14" t="s">
        <v>12</v>
      </c>
      <c r="E475" s="14" t="s">
        <v>391</v>
      </c>
      <c r="F475" s="64">
        <f t="shared" si="8"/>
        <v>2818.2</v>
      </c>
      <c r="G475" s="64">
        <f>G476+G478</f>
        <v>2818.2</v>
      </c>
      <c r="H475" s="64">
        <f>SUM(H476:H479)</f>
        <v>0</v>
      </c>
      <c r="J475" s="149"/>
    </row>
    <row r="476" spans="1:8" ht="95.25" customHeight="1">
      <c r="A476" s="27" t="s">
        <v>177</v>
      </c>
      <c r="B476" s="14" t="s">
        <v>374</v>
      </c>
      <c r="C476" s="14" t="s">
        <v>359</v>
      </c>
      <c r="D476" s="14" t="s">
        <v>12</v>
      </c>
      <c r="E476" s="14" t="s">
        <v>145</v>
      </c>
      <c r="F476" s="64">
        <f t="shared" si="8"/>
        <v>2673.2</v>
      </c>
      <c r="G476" s="64">
        <f>G477</f>
        <v>2673.2</v>
      </c>
      <c r="H476" s="64"/>
    </row>
    <row r="477" spans="1:8" ht="35.25" customHeight="1">
      <c r="A477" s="27" t="s">
        <v>179</v>
      </c>
      <c r="B477" s="14" t="s">
        <v>374</v>
      </c>
      <c r="C477" s="14" t="s">
        <v>359</v>
      </c>
      <c r="D477" s="14" t="s">
        <v>12</v>
      </c>
      <c r="E477" s="14" t="s">
        <v>178</v>
      </c>
      <c r="F477" s="64">
        <f t="shared" si="8"/>
        <v>2673.2</v>
      </c>
      <c r="G477" s="132">
        <f>2510.9+44+758.3-500-140</f>
        <v>2673.2</v>
      </c>
      <c r="H477" s="64"/>
    </row>
    <row r="478" spans="1:8" ht="34.5" customHeight="1">
      <c r="A478" s="27" t="s">
        <v>180</v>
      </c>
      <c r="B478" s="14" t="s">
        <v>374</v>
      </c>
      <c r="C478" s="14" t="s">
        <v>359</v>
      </c>
      <c r="D478" s="14" t="s">
        <v>12</v>
      </c>
      <c r="E478" s="14" t="s">
        <v>149</v>
      </c>
      <c r="F478" s="64">
        <f t="shared" si="8"/>
        <v>145</v>
      </c>
      <c r="G478" s="64">
        <f>G479</f>
        <v>145</v>
      </c>
      <c r="H478" s="64"/>
    </row>
    <row r="479" spans="1:8" ht="46.5" customHeight="1">
      <c r="A479" s="52" t="s">
        <v>181</v>
      </c>
      <c r="B479" s="14" t="s">
        <v>374</v>
      </c>
      <c r="C479" s="14" t="s">
        <v>359</v>
      </c>
      <c r="D479" s="14" t="s">
        <v>12</v>
      </c>
      <c r="E479" s="14" t="s">
        <v>182</v>
      </c>
      <c r="F479" s="64">
        <f t="shared" si="8"/>
        <v>145</v>
      </c>
      <c r="G479" s="132">
        <v>145</v>
      </c>
      <c r="H479" s="64"/>
    </row>
    <row r="480" spans="1:8" ht="18.75" customHeight="1">
      <c r="A480" s="46" t="s">
        <v>830</v>
      </c>
      <c r="B480" s="28" t="s">
        <v>374</v>
      </c>
      <c r="C480" s="28" t="s">
        <v>359</v>
      </c>
      <c r="D480" s="28" t="s">
        <v>831</v>
      </c>
      <c r="E480" s="28" t="s">
        <v>391</v>
      </c>
      <c r="F480" s="65">
        <f>G480</f>
        <v>317.5</v>
      </c>
      <c r="G480" s="65">
        <f>G481</f>
        <v>317.5</v>
      </c>
      <c r="H480" s="65"/>
    </row>
    <row r="481" spans="1:8" ht="36" customHeight="1">
      <c r="A481" s="27" t="s">
        <v>180</v>
      </c>
      <c r="B481" s="14" t="s">
        <v>374</v>
      </c>
      <c r="C481" s="14" t="s">
        <v>359</v>
      </c>
      <c r="D481" s="14" t="s">
        <v>831</v>
      </c>
      <c r="E481" s="14" t="s">
        <v>149</v>
      </c>
      <c r="F481" s="64">
        <f>G481</f>
        <v>317.5</v>
      </c>
      <c r="G481" s="132">
        <f>G482</f>
        <v>317.5</v>
      </c>
      <c r="H481" s="64"/>
    </row>
    <row r="482" spans="1:8" ht="46.5" customHeight="1">
      <c r="A482" s="52" t="s">
        <v>181</v>
      </c>
      <c r="B482" s="14" t="s">
        <v>374</v>
      </c>
      <c r="C482" s="14" t="s">
        <v>359</v>
      </c>
      <c r="D482" s="14" t="s">
        <v>831</v>
      </c>
      <c r="E482" s="14" t="s">
        <v>182</v>
      </c>
      <c r="F482" s="64">
        <f>G482</f>
        <v>317.5</v>
      </c>
      <c r="G482" s="132">
        <f>287.5+30</f>
        <v>317.5</v>
      </c>
      <c r="H482" s="64"/>
    </row>
    <row r="483" spans="1:10" s="164" customFormat="1" ht="81.75" customHeight="1">
      <c r="A483" s="61" t="s">
        <v>654</v>
      </c>
      <c r="B483" s="20" t="s">
        <v>374</v>
      </c>
      <c r="C483" s="20" t="s">
        <v>359</v>
      </c>
      <c r="D483" s="20" t="s">
        <v>662</v>
      </c>
      <c r="E483" s="20" t="s">
        <v>391</v>
      </c>
      <c r="F483" s="115">
        <f aca="true" t="shared" si="13" ref="F483:F488">G483+H483</f>
        <v>1882.5029999999997</v>
      </c>
      <c r="G483" s="115">
        <v>0</v>
      </c>
      <c r="H483" s="115">
        <f>H484+H486</f>
        <v>1882.5029999999997</v>
      </c>
      <c r="J483" s="167"/>
    </row>
    <row r="484" spans="1:8" ht="97.5" customHeight="1">
      <c r="A484" s="27" t="s">
        <v>177</v>
      </c>
      <c r="B484" s="14" t="s">
        <v>374</v>
      </c>
      <c r="C484" s="14" t="s">
        <v>359</v>
      </c>
      <c r="D484" s="14" t="s">
        <v>662</v>
      </c>
      <c r="E484" s="14" t="s">
        <v>145</v>
      </c>
      <c r="F484" s="64">
        <f t="shared" si="13"/>
        <v>1327.3646299999998</v>
      </c>
      <c r="G484" s="64"/>
      <c r="H484" s="64">
        <f>H485</f>
        <v>1327.3646299999998</v>
      </c>
    </row>
    <row r="485" spans="1:8" ht="31.5" customHeight="1">
      <c r="A485" s="52" t="s">
        <v>179</v>
      </c>
      <c r="B485" s="14" t="s">
        <v>374</v>
      </c>
      <c r="C485" s="14" t="s">
        <v>359</v>
      </c>
      <c r="D485" s="14" t="s">
        <v>662</v>
      </c>
      <c r="E485" s="14" t="s">
        <v>178</v>
      </c>
      <c r="F485" s="64">
        <f t="shared" si="13"/>
        <v>1327.3646299999998</v>
      </c>
      <c r="G485" s="64"/>
      <c r="H485" s="64">
        <f>1311.899+16.655-1.18937</f>
        <v>1327.3646299999998</v>
      </c>
    </row>
    <row r="486" spans="1:8" ht="35.25" customHeight="1">
      <c r="A486" s="27" t="s">
        <v>180</v>
      </c>
      <c r="B486" s="14" t="s">
        <v>374</v>
      </c>
      <c r="C486" s="14" t="s">
        <v>359</v>
      </c>
      <c r="D486" s="14" t="s">
        <v>662</v>
      </c>
      <c r="E486" s="14" t="s">
        <v>149</v>
      </c>
      <c r="F486" s="64">
        <f t="shared" si="13"/>
        <v>555.13837</v>
      </c>
      <c r="G486" s="64"/>
      <c r="H486" s="64">
        <f>H487</f>
        <v>555.13837</v>
      </c>
    </row>
    <row r="487" spans="1:8" ht="48" customHeight="1">
      <c r="A487" s="52" t="s">
        <v>181</v>
      </c>
      <c r="B487" s="14" t="s">
        <v>374</v>
      </c>
      <c r="C487" s="14" t="s">
        <v>359</v>
      </c>
      <c r="D487" s="14" t="s">
        <v>662</v>
      </c>
      <c r="E487" s="14" t="s">
        <v>182</v>
      </c>
      <c r="F487" s="64">
        <f t="shared" si="13"/>
        <v>555.13837</v>
      </c>
      <c r="G487" s="64"/>
      <c r="H487" s="64">
        <f>553.949+1.18937</f>
        <v>555.13837</v>
      </c>
    </row>
    <row r="488" spans="1:10" s="164" customFormat="1" ht="16.5" customHeight="1">
      <c r="A488" s="62" t="s">
        <v>176</v>
      </c>
      <c r="B488" s="20" t="s">
        <v>362</v>
      </c>
      <c r="C488" s="20" t="s">
        <v>141</v>
      </c>
      <c r="D488" s="20" t="s">
        <v>304</v>
      </c>
      <c r="E488" s="20" t="s">
        <v>391</v>
      </c>
      <c r="F488" s="115">
        <f t="shared" si="13"/>
        <v>20033.737089999995</v>
      </c>
      <c r="G488" s="115">
        <f>G489+G519</f>
        <v>17803.564199999997</v>
      </c>
      <c r="H488" s="115">
        <f>H489+H519</f>
        <v>2230.17289</v>
      </c>
      <c r="I488" s="185"/>
      <c r="J488" s="167"/>
    </row>
    <row r="489" spans="1:11" s="148" customFormat="1" ht="18" customHeight="1">
      <c r="A489" s="31" t="s">
        <v>426</v>
      </c>
      <c r="B489" s="28" t="s">
        <v>362</v>
      </c>
      <c r="C489" s="28" t="s">
        <v>140</v>
      </c>
      <c r="D489" s="28" t="s">
        <v>304</v>
      </c>
      <c r="E489" s="28" t="s">
        <v>391</v>
      </c>
      <c r="F489" s="65">
        <f t="shared" si="8"/>
        <v>18307.25089</v>
      </c>
      <c r="G489" s="65">
        <f>G490</f>
        <v>16277.077999999998</v>
      </c>
      <c r="H489" s="65">
        <f>H490</f>
        <v>2030.17289</v>
      </c>
      <c r="K489" s="154"/>
    </row>
    <row r="490" spans="1:10" s="148" customFormat="1" ht="49.5" customHeight="1">
      <c r="A490" s="31" t="s">
        <v>457</v>
      </c>
      <c r="B490" s="28" t="s">
        <v>362</v>
      </c>
      <c r="C490" s="28" t="s">
        <v>140</v>
      </c>
      <c r="D490" s="28" t="s">
        <v>71</v>
      </c>
      <c r="E490" s="28" t="s">
        <v>391</v>
      </c>
      <c r="F490" s="65">
        <f t="shared" si="8"/>
        <v>18307.25089</v>
      </c>
      <c r="G490" s="65">
        <f>G491+G498+G506+G509+G516+G496</f>
        <v>16277.077999999998</v>
      </c>
      <c r="H490" s="65">
        <f>H498+H509</f>
        <v>2030.17289</v>
      </c>
      <c r="I490" s="154"/>
      <c r="J490" s="182"/>
    </row>
    <row r="491" spans="1:11" ht="69.75" customHeight="1">
      <c r="A491" s="32" t="s">
        <v>513</v>
      </c>
      <c r="B491" s="14" t="s">
        <v>362</v>
      </c>
      <c r="C491" s="14" t="s">
        <v>140</v>
      </c>
      <c r="D491" s="14" t="s">
        <v>72</v>
      </c>
      <c r="E491" s="14" t="s">
        <v>391</v>
      </c>
      <c r="F491" s="64">
        <f t="shared" si="8"/>
        <v>11068.949529999998</v>
      </c>
      <c r="G491" s="64">
        <f>G492+G494</f>
        <v>11068.949529999998</v>
      </c>
      <c r="H491" s="64"/>
      <c r="K491" s="155"/>
    </row>
    <row r="492" spans="1:8" ht="50.25" customHeight="1">
      <c r="A492" s="27" t="s">
        <v>203</v>
      </c>
      <c r="B492" s="14" t="s">
        <v>362</v>
      </c>
      <c r="C492" s="14" t="s">
        <v>140</v>
      </c>
      <c r="D492" s="14" t="s">
        <v>73</v>
      </c>
      <c r="E492" s="14" t="s">
        <v>204</v>
      </c>
      <c r="F492" s="64">
        <f t="shared" si="8"/>
        <v>9013.822119999999</v>
      </c>
      <c r="G492" s="64">
        <f>G493</f>
        <v>9013.822119999999</v>
      </c>
      <c r="H492" s="64"/>
    </row>
    <row r="493" spans="1:8" ht="18" customHeight="1">
      <c r="A493" s="27" t="s">
        <v>205</v>
      </c>
      <c r="B493" s="14" t="s">
        <v>362</v>
      </c>
      <c r="C493" s="14" t="s">
        <v>140</v>
      </c>
      <c r="D493" s="14" t="s">
        <v>74</v>
      </c>
      <c r="E493" s="14" t="s">
        <v>271</v>
      </c>
      <c r="F493" s="64">
        <f t="shared" si="8"/>
        <v>9013.822119999999</v>
      </c>
      <c r="G493" s="64">
        <f>5802.65+100+72.86+25+150-0.0202+1755.1+726.9+0.00032+163+218.332</f>
        <v>9013.822119999999</v>
      </c>
      <c r="H493" s="64"/>
    </row>
    <row r="494" spans="1:8" ht="112.5" customHeight="1">
      <c r="A494" s="27" t="s">
        <v>93</v>
      </c>
      <c r="B494" s="14" t="s">
        <v>362</v>
      </c>
      <c r="C494" s="14" t="s">
        <v>140</v>
      </c>
      <c r="D494" s="14" t="s">
        <v>92</v>
      </c>
      <c r="E494" s="14" t="s">
        <v>271</v>
      </c>
      <c r="F494" s="64">
        <f t="shared" si="8"/>
        <v>2055.12741</v>
      </c>
      <c r="G494" s="64">
        <f>G495</f>
        <v>2055.12741</v>
      </c>
      <c r="H494" s="64"/>
    </row>
    <row r="495" spans="1:8" ht="18" customHeight="1">
      <c r="A495" s="27" t="s">
        <v>205</v>
      </c>
      <c r="B495" s="14" t="s">
        <v>362</v>
      </c>
      <c r="C495" s="14" t="s">
        <v>140</v>
      </c>
      <c r="D495" s="14" t="s">
        <v>92</v>
      </c>
      <c r="E495" s="14" t="s">
        <v>271</v>
      </c>
      <c r="F495" s="64">
        <f>G495+H495</f>
        <v>2055.12741</v>
      </c>
      <c r="G495" s="64">
        <f>1101.5+518.5+411.6+23.52741</f>
        <v>2055.12741</v>
      </c>
      <c r="H495" s="64"/>
    </row>
    <row r="496" spans="1:8" ht="102.75" customHeight="1" hidden="1">
      <c r="A496" s="27" t="s">
        <v>747</v>
      </c>
      <c r="B496" s="14" t="s">
        <v>362</v>
      </c>
      <c r="C496" s="14" t="s">
        <v>140</v>
      </c>
      <c r="D496" s="14" t="s">
        <v>775</v>
      </c>
      <c r="E496" s="14" t="s">
        <v>391</v>
      </c>
      <c r="F496" s="64">
        <f>G496</f>
        <v>0</v>
      </c>
      <c r="G496" s="64">
        <f>G497</f>
        <v>0</v>
      </c>
      <c r="H496" s="64"/>
    </row>
    <row r="497" spans="1:8" ht="21" customHeight="1" hidden="1">
      <c r="A497" s="27" t="s">
        <v>205</v>
      </c>
      <c r="B497" s="14" t="s">
        <v>362</v>
      </c>
      <c r="C497" s="14" t="s">
        <v>140</v>
      </c>
      <c r="D497" s="14" t="s">
        <v>775</v>
      </c>
      <c r="E497" s="14" t="s">
        <v>271</v>
      </c>
      <c r="F497" s="64">
        <f>G497</f>
        <v>0</v>
      </c>
      <c r="G497" s="64">
        <f>25-25</f>
        <v>0</v>
      </c>
      <c r="H497" s="64"/>
    </row>
    <row r="498" spans="1:8" ht="77.25" customHeight="1">
      <c r="A498" s="62" t="s">
        <v>561</v>
      </c>
      <c r="B498" s="20" t="s">
        <v>362</v>
      </c>
      <c r="C498" s="20" t="s">
        <v>140</v>
      </c>
      <c r="D498" s="20" t="s">
        <v>72</v>
      </c>
      <c r="E498" s="20" t="s">
        <v>391</v>
      </c>
      <c r="F498" s="115">
        <f>G498+H498</f>
        <v>1821.94917</v>
      </c>
      <c r="G498" s="115">
        <f>G499+G503+G502</f>
        <v>18.219170000000002</v>
      </c>
      <c r="H498" s="115">
        <f>H499</f>
        <v>1803.73</v>
      </c>
    </row>
    <row r="499" spans="1:8" ht="79.5" customHeight="1">
      <c r="A499" s="31" t="s">
        <v>562</v>
      </c>
      <c r="B499" s="28" t="s">
        <v>362</v>
      </c>
      <c r="C499" s="28" t="s">
        <v>140</v>
      </c>
      <c r="D499" s="28" t="s">
        <v>563</v>
      </c>
      <c r="E499" s="28" t="s">
        <v>391</v>
      </c>
      <c r="F499" s="65">
        <f>G499+H499</f>
        <v>1803.73</v>
      </c>
      <c r="G499" s="65">
        <f>G500</f>
        <v>0</v>
      </c>
      <c r="H499" s="65">
        <f>H500</f>
        <v>1803.73</v>
      </c>
    </row>
    <row r="500" spans="1:8" ht="48.75" customHeight="1">
      <c r="A500" s="27" t="s">
        <v>203</v>
      </c>
      <c r="B500" s="14" t="s">
        <v>362</v>
      </c>
      <c r="C500" s="14" t="s">
        <v>140</v>
      </c>
      <c r="D500" s="14" t="s">
        <v>563</v>
      </c>
      <c r="E500" s="14" t="s">
        <v>204</v>
      </c>
      <c r="F500" s="64">
        <f>G500+H500</f>
        <v>1803.73</v>
      </c>
      <c r="G500" s="64">
        <f>G501</f>
        <v>0</v>
      </c>
      <c r="H500" s="64">
        <f>H501</f>
        <v>1803.73</v>
      </c>
    </row>
    <row r="501" spans="1:8" ht="20.25" customHeight="1">
      <c r="A501" s="27" t="s">
        <v>205</v>
      </c>
      <c r="B501" s="14" t="s">
        <v>362</v>
      </c>
      <c r="C501" s="14" t="s">
        <v>140</v>
      </c>
      <c r="D501" s="14" t="s">
        <v>563</v>
      </c>
      <c r="E501" s="14" t="s">
        <v>271</v>
      </c>
      <c r="F501" s="64">
        <f>G501+H501</f>
        <v>1803.73</v>
      </c>
      <c r="G501" s="64">
        <v>0</v>
      </c>
      <c r="H501" s="64">
        <v>1803.73</v>
      </c>
    </row>
    <row r="502" spans="1:8" ht="20.25" customHeight="1">
      <c r="A502" s="27" t="s">
        <v>205</v>
      </c>
      <c r="B502" s="14" t="s">
        <v>362</v>
      </c>
      <c r="C502" s="14" t="s">
        <v>140</v>
      </c>
      <c r="D502" s="14" t="s">
        <v>563</v>
      </c>
      <c r="E502" s="14" t="s">
        <v>271</v>
      </c>
      <c r="F502" s="64">
        <f>G502+H502</f>
        <v>2.18634</v>
      </c>
      <c r="G502" s="64">
        <v>2.18634</v>
      </c>
      <c r="H502" s="64"/>
    </row>
    <row r="503" spans="1:8" ht="128.25" customHeight="1">
      <c r="A503" s="31" t="s">
        <v>584</v>
      </c>
      <c r="B503" s="28" t="s">
        <v>362</v>
      </c>
      <c r="C503" s="28" t="s">
        <v>140</v>
      </c>
      <c r="D503" s="28" t="s">
        <v>564</v>
      </c>
      <c r="E503" s="28" t="s">
        <v>391</v>
      </c>
      <c r="F503" s="65">
        <f>G503</f>
        <v>16.03283</v>
      </c>
      <c r="G503" s="65">
        <f>G504</f>
        <v>16.03283</v>
      </c>
      <c r="H503" s="65"/>
    </row>
    <row r="504" spans="1:8" ht="51.75" customHeight="1">
      <c r="A504" s="27" t="s">
        <v>203</v>
      </c>
      <c r="B504" s="14" t="s">
        <v>362</v>
      </c>
      <c r="C504" s="14" t="s">
        <v>140</v>
      </c>
      <c r="D504" s="14" t="s">
        <v>564</v>
      </c>
      <c r="E504" s="14" t="s">
        <v>204</v>
      </c>
      <c r="F504" s="64">
        <f>G504</f>
        <v>16.03283</v>
      </c>
      <c r="G504" s="64">
        <f>G505</f>
        <v>16.03283</v>
      </c>
      <c r="H504" s="64"/>
    </row>
    <row r="505" spans="1:8" ht="23.25" customHeight="1">
      <c r="A505" s="27" t="s">
        <v>205</v>
      </c>
      <c r="B505" s="14" t="s">
        <v>362</v>
      </c>
      <c r="C505" s="14" t="s">
        <v>140</v>
      </c>
      <c r="D505" s="14" t="s">
        <v>564</v>
      </c>
      <c r="E505" s="14" t="s">
        <v>271</v>
      </c>
      <c r="F505" s="64">
        <f>G505</f>
        <v>16.03283</v>
      </c>
      <c r="G505" s="64">
        <f>18.21949+2-2-0.00032-2.18634</f>
        <v>16.03283</v>
      </c>
      <c r="H505" s="64"/>
    </row>
    <row r="506" spans="1:8" ht="72.75" customHeight="1">
      <c r="A506" s="32" t="s">
        <v>514</v>
      </c>
      <c r="B506" s="14" t="s">
        <v>362</v>
      </c>
      <c r="C506" s="14" t="s">
        <v>140</v>
      </c>
      <c r="D506" s="14" t="s">
        <v>75</v>
      </c>
      <c r="E506" s="14" t="s">
        <v>391</v>
      </c>
      <c r="F506" s="64">
        <f>G506+H506</f>
        <v>3404.781</v>
      </c>
      <c r="G506" s="64">
        <f>G507</f>
        <v>3404.781</v>
      </c>
      <c r="H506" s="64"/>
    </row>
    <row r="507" spans="1:8" ht="48" customHeight="1">
      <c r="A507" s="27" t="s">
        <v>203</v>
      </c>
      <c r="B507" s="14" t="s">
        <v>362</v>
      </c>
      <c r="C507" s="14" t="s">
        <v>140</v>
      </c>
      <c r="D507" s="14" t="s">
        <v>75</v>
      </c>
      <c r="E507" s="14" t="s">
        <v>204</v>
      </c>
      <c r="F507" s="64">
        <f>G507+H507</f>
        <v>3404.781</v>
      </c>
      <c r="G507" s="64">
        <f>G508</f>
        <v>3404.781</v>
      </c>
      <c r="H507" s="64"/>
    </row>
    <row r="508" spans="1:8" ht="18" customHeight="1">
      <c r="A508" s="27" t="s">
        <v>205</v>
      </c>
      <c r="B508" s="14" t="s">
        <v>362</v>
      </c>
      <c r="C508" s="14" t="s">
        <v>140</v>
      </c>
      <c r="D508" s="14" t="s">
        <v>75</v>
      </c>
      <c r="E508" s="14" t="s">
        <v>271</v>
      </c>
      <c r="F508" s="64">
        <f>G508+H508</f>
        <v>3404.781</v>
      </c>
      <c r="G508" s="64">
        <f>1566.14+610.1+67+245+578.6+337.941</f>
        <v>3404.781</v>
      </c>
      <c r="H508" s="64"/>
    </row>
    <row r="509" spans="1:8" ht="66.75" customHeight="1">
      <c r="A509" s="62" t="s">
        <v>565</v>
      </c>
      <c r="B509" s="20" t="s">
        <v>362</v>
      </c>
      <c r="C509" s="20" t="s">
        <v>140</v>
      </c>
      <c r="D509" s="20" t="s">
        <v>566</v>
      </c>
      <c r="E509" s="20" t="s">
        <v>391</v>
      </c>
      <c r="F509" s="115">
        <f>G509+H509</f>
        <v>228.73019</v>
      </c>
      <c r="G509" s="115">
        <f>G513</f>
        <v>2.2873</v>
      </c>
      <c r="H509" s="115">
        <f>H510</f>
        <v>226.44289</v>
      </c>
    </row>
    <row r="510" spans="1:8" ht="75" customHeight="1">
      <c r="A510" s="31" t="s">
        <v>585</v>
      </c>
      <c r="B510" s="28" t="s">
        <v>362</v>
      </c>
      <c r="C510" s="28" t="s">
        <v>140</v>
      </c>
      <c r="D510" s="28" t="s">
        <v>567</v>
      </c>
      <c r="E510" s="28" t="s">
        <v>391</v>
      </c>
      <c r="F510" s="65">
        <f>H510</f>
        <v>226.44289</v>
      </c>
      <c r="G510" s="65"/>
      <c r="H510" s="65">
        <f>H511</f>
        <v>226.44289</v>
      </c>
    </row>
    <row r="511" spans="1:8" ht="48.75" customHeight="1">
      <c r="A511" s="27" t="s">
        <v>203</v>
      </c>
      <c r="B511" s="14" t="s">
        <v>362</v>
      </c>
      <c r="C511" s="14" t="s">
        <v>140</v>
      </c>
      <c r="D511" s="14" t="s">
        <v>567</v>
      </c>
      <c r="E511" s="14" t="s">
        <v>204</v>
      </c>
      <c r="F511" s="64">
        <f>H511</f>
        <v>226.44289</v>
      </c>
      <c r="G511" s="64"/>
      <c r="H511" s="64">
        <f>H512</f>
        <v>226.44289</v>
      </c>
    </row>
    <row r="512" spans="1:8" ht="24.75" customHeight="1">
      <c r="A512" s="27" t="s">
        <v>205</v>
      </c>
      <c r="B512" s="14" t="s">
        <v>362</v>
      </c>
      <c r="C512" s="14" t="s">
        <v>140</v>
      </c>
      <c r="D512" s="14" t="s">
        <v>567</v>
      </c>
      <c r="E512" s="14" t="s">
        <v>271</v>
      </c>
      <c r="F512" s="64">
        <f>H512</f>
        <v>226.44289</v>
      </c>
      <c r="G512" s="64"/>
      <c r="H512" s="64">
        <v>226.44289</v>
      </c>
    </row>
    <row r="513" spans="1:12" ht="108" customHeight="1">
      <c r="A513" s="31" t="s">
        <v>586</v>
      </c>
      <c r="B513" s="28" t="s">
        <v>362</v>
      </c>
      <c r="C513" s="28" t="s">
        <v>140</v>
      </c>
      <c r="D513" s="28" t="s">
        <v>568</v>
      </c>
      <c r="E513" s="28" t="s">
        <v>391</v>
      </c>
      <c r="F513" s="65">
        <f>G513</f>
        <v>2.2873</v>
      </c>
      <c r="G513" s="65">
        <f>G514</f>
        <v>2.2873</v>
      </c>
      <c r="H513" s="65"/>
      <c r="L513" s="290"/>
    </row>
    <row r="514" spans="1:9" ht="48.75" customHeight="1">
      <c r="A514" s="27" t="s">
        <v>203</v>
      </c>
      <c r="B514" s="14" t="s">
        <v>362</v>
      </c>
      <c r="C514" s="14" t="s">
        <v>140</v>
      </c>
      <c r="D514" s="14" t="s">
        <v>568</v>
      </c>
      <c r="E514" s="14" t="s">
        <v>204</v>
      </c>
      <c r="F514" s="64">
        <f>G514</f>
        <v>2.2873</v>
      </c>
      <c r="G514" s="64">
        <f>G515</f>
        <v>2.2873</v>
      </c>
      <c r="H514" s="64"/>
      <c r="I514" s="156"/>
    </row>
    <row r="515" spans="1:9" ht="23.25" customHeight="1">
      <c r="A515" s="27" t="s">
        <v>205</v>
      </c>
      <c r="B515" s="14" t="s">
        <v>362</v>
      </c>
      <c r="C515" s="14" t="s">
        <v>140</v>
      </c>
      <c r="D515" s="14" t="s">
        <v>568</v>
      </c>
      <c r="E515" s="14" t="s">
        <v>271</v>
      </c>
      <c r="F515" s="64">
        <f>G515</f>
        <v>2.2873</v>
      </c>
      <c r="G515" s="64">
        <v>2.2873</v>
      </c>
      <c r="H515" s="64"/>
      <c r="I515" s="149"/>
    </row>
    <row r="516" spans="1:8" ht="99" customHeight="1">
      <c r="A516" s="32" t="s">
        <v>515</v>
      </c>
      <c r="B516" s="14" t="s">
        <v>362</v>
      </c>
      <c r="C516" s="14" t="s">
        <v>140</v>
      </c>
      <c r="D516" s="14" t="s">
        <v>76</v>
      </c>
      <c r="E516" s="14" t="s">
        <v>391</v>
      </c>
      <c r="F516" s="64">
        <f>G516+H516</f>
        <v>1782.8410000000001</v>
      </c>
      <c r="G516" s="64">
        <f>G517</f>
        <v>1782.8410000000001</v>
      </c>
      <c r="H516" s="64"/>
    </row>
    <row r="517" spans="1:8" ht="48.75" customHeight="1">
      <c r="A517" s="27" t="s">
        <v>203</v>
      </c>
      <c r="B517" s="14" t="s">
        <v>362</v>
      </c>
      <c r="C517" s="14" t="s">
        <v>140</v>
      </c>
      <c r="D517" s="14" t="s">
        <v>76</v>
      </c>
      <c r="E517" s="14" t="s">
        <v>204</v>
      </c>
      <c r="F517" s="64">
        <f>G517+H517</f>
        <v>1782.8410000000001</v>
      </c>
      <c r="G517" s="64">
        <f>G518</f>
        <v>1782.8410000000001</v>
      </c>
      <c r="H517" s="64"/>
    </row>
    <row r="518" spans="1:8" ht="16.5" customHeight="1">
      <c r="A518" s="27" t="s">
        <v>205</v>
      </c>
      <c r="B518" s="14" t="s">
        <v>362</v>
      </c>
      <c r="C518" s="14" t="s">
        <v>140</v>
      </c>
      <c r="D518" s="14" t="s">
        <v>76</v>
      </c>
      <c r="E518" s="14" t="s">
        <v>271</v>
      </c>
      <c r="F518" s="64">
        <f>G518+H518</f>
        <v>1782.8410000000001</v>
      </c>
      <c r="G518" s="64">
        <f>1181.43+25+217.9+262.9+95.611</f>
        <v>1782.8410000000001</v>
      </c>
      <c r="H518" s="64"/>
    </row>
    <row r="519" spans="1:10" ht="32.25" customHeight="1">
      <c r="A519" s="27" t="s">
        <v>5</v>
      </c>
      <c r="B519" s="14" t="s">
        <v>362</v>
      </c>
      <c r="C519" s="14" t="s">
        <v>151</v>
      </c>
      <c r="D519" s="14" t="s">
        <v>304</v>
      </c>
      <c r="E519" s="14" t="s">
        <v>391</v>
      </c>
      <c r="F519" s="64">
        <f>G519+H519</f>
        <v>1726.4862</v>
      </c>
      <c r="G519" s="64">
        <f>G520+G531+G534+G539+G542</f>
        <v>1526.4862</v>
      </c>
      <c r="H519" s="64">
        <f>H520+H531+H534+H539+H542</f>
        <v>200</v>
      </c>
      <c r="J519" s="155"/>
    </row>
    <row r="520" spans="1:10" ht="50.25" customHeight="1">
      <c r="A520" s="31" t="s">
        <v>457</v>
      </c>
      <c r="B520" s="28" t="s">
        <v>362</v>
      </c>
      <c r="C520" s="28" t="s">
        <v>151</v>
      </c>
      <c r="D520" s="28" t="s">
        <v>71</v>
      </c>
      <c r="E520" s="28" t="s">
        <v>391</v>
      </c>
      <c r="F520" s="65">
        <f>G520</f>
        <v>1455.2862</v>
      </c>
      <c r="G520" s="65">
        <f>G521+G524</f>
        <v>1455.2862</v>
      </c>
      <c r="H520" s="65">
        <f>H521+H524</f>
        <v>200</v>
      </c>
      <c r="J520" s="155"/>
    </row>
    <row r="521" spans="1:8" ht="37.5" customHeight="1">
      <c r="A521" s="32" t="s">
        <v>516</v>
      </c>
      <c r="B521" s="14" t="s">
        <v>362</v>
      </c>
      <c r="C521" s="14" t="s">
        <v>151</v>
      </c>
      <c r="D521" s="14" t="s">
        <v>77</v>
      </c>
      <c r="E521" s="14" t="s">
        <v>391</v>
      </c>
      <c r="F521" s="64">
        <f aca="true" t="shared" si="14" ref="F521:F541">G521+H521</f>
        <v>1453.266</v>
      </c>
      <c r="G521" s="64">
        <f>G522</f>
        <v>1453.266</v>
      </c>
      <c r="H521" s="64"/>
    </row>
    <row r="522" spans="1:8" ht="50.25" customHeight="1">
      <c r="A522" s="27" t="s">
        <v>203</v>
      </c>
      <c r="B522" s="14" t="s">
        <v>362</v>
      </c>
      <c r="C522" s="14" t="s">
        <v>151</v>
      </c>
      <c r="D522" s="14" t="s">
        <v>77</v>
      </c>
      <c r="E522" s="14" t="s">
        <v>204</v>
      </c>
      <c r="F522" s="64">
        <f t="shared" si="14"/>
        <v>1453.266</v>
      </c>
      <c r="G522" s="64">
        <f>G523</f>
        <v>1453.266</v>
      </c>
      <c r="H522" s="64"/>
    </row>
    <row r="523" spans="1:9" ht="17.25" customHeight="1">
      <c r="A523" s="27" t="s">
        <v>205</v>
      </c>
      <c r="B523" s="14" t="s">
        <v>362</v>
      </c>
      <c r="C523" s="14" t="s">
        <v>151</v>
      </c>
      <c r="D523" s="14" t="s">
        <v>77</v>
      </c>
      <c r="E523" s="14" t="s">
        <v>271</v>
      </c>
      <c r="F523" s="64">
        <f t="shared" si="14"/>
        <v>1453.266</v>
      </c>
      <c r="G523" s="64">
        <f>897.91+20+100+277.8+157.556</f>
        <v>1453.266</v>
      </c>
      <c r="H523" s="64"/>
      <c r="I523" s="155"/>
    </row>
    <row r="524" spans="1:9" ht="51" customHeight="1">
      <c r="A524" s="62" t="s">
        <v>857</v>
      </c>
      <c r="B524" s="20" t="s">
        <v>362</v>
      </c>
      <c r="C524" s="20" t="s">
        <v>151</v>
      </c>
      <c r="D524" s="20" t="s">
        <v>72</v>
      </c>
      <c r="E524" s="20" t="s">
        <v>391</v>
      </c>
      <c r="F524" s="115">
        <f>G524+H524</f>
        <v>202.0202</v>
      </c>
      <c r="G524" s="115">
        <f>G528</f>
        <v>2.0202</v>
      </c>
      <c r="H524" s="115">
        <f>H525</f>
        <v>200</v>
      </c>
      <c r="I524" s="155"/>
    </row>
    <row r="525" spans="1:9" ht="66" customHeight="1">
      <c r="A525" s="27" t="s">
        <v>858</v>
      </c>
      <c r="B525" s="14" t="s">
        <v>362</v>
      </c>
      <c r="C525" s="14" t="s">
        <v>151</v>
      </c>
      <c r="D525" s="14" t="s">
        <v>860</v>
      </c>
      <c r="E525" s="14" t="s">
        <v>391</v>
      </c>
      <c r="F525" s="64">
        <f aca="true" t="shared" si="15" ref="F525:F530">G525+H525</f>
        <v>200</v>
      </c>
      <c r="G525" s="64"/>
      <c r="H525" s="64">
        <f>H526</f>
        <v>200</v>
      </c>
      <c r="I525" s="155"/>
    </row>
    <row r="526" spans="1:9" ht="48.75" customHeight="1">
      <c r="A526" s="27" t="s">
        <v>203</v>
      </c>
      <c r="B526" s="14" t="s">
        <v>362</v>
      </c>
      <c r="C526" s="14" t="s">
        <v>151</v>
      </c>
      <c r="D526" s="14" t="s">
        <v>860</v>
      </c>
      <c r="E526" s="14" t="s">
        <v>204</v>
      </c>
      <c r="F526" s="64">
        <f t="shared" si="15"/>
        <v>200</v>
      </c>
      <c r="G526" s="64"/>
      <c r="H526" s="64">
        <f>H527</f>
        <v>200</v>
      </c>
      <c r="I526" s="155"/>
    </row>
    <row r="527" spans="1:9" ht="22.5" customHeight="1">
      <c r="A527" s="27" t="s">
        <v>205</v>
      </c>
      <c r="B527" s="14" t="s">
        <v>362</v>
      </c>
      <c r="C527" s="14" t="s">
        <v>151</v>
      </c>
      <c r="D527" s="14" t="s">
        <v>860</v>
      </c>
      <c r="E527" s="14" t="s">
        <v>271</v>
      </c>
      <c r="F527" s="64">
        <f t="shared" si="15"/>
        <v>200</v>
      </c>
      <c r="G527" s="64"/>
      <c r="H527" s="64">
        <v>200</v>
      </c>
      <c r="I527" s="155"/>
    </row>
    <row r="528" spans="1:9" ht="84" customHeight="1">
      <c r="A528" s="27" t="s">
        <v>859</v>
      </c>
      <c r="B528" s="14" t="s">
        <v>362</v>
      </c>
      <c r="C528" s="14" t="s">
        <v>151</v>
      </c>
      <c r="D528" s="14" t="s">
        <v>861</v>
      </c>
      <c r="E528" s="14" t="s">
        <v>391</v>
      </c>
      <c r="F528" s="64">
        <f t="shared" si="15"/>
        <v>2.0202</v>
      </c>
      <c r="G528" s="64">
        <f>G529</f>
        <v>2.0202</v>
      </c>
      <c r="H528" s="64"/>
      <c r="I528" s="155"/>
    </row>
    <row r="529" spans="1:9" ht="51" customHeight="1">
      <c r="A529" s="27" t="s">
        <v>203</v>
      </c>
      <c r="B529" s="14" t="s">
        <v>362</v>
      </c>
      <c r="C529" s="14" t="s">
        <v>151</v>
      </c>
      <c r="D529" s="14" t="s">
        <v>861</v>
      </c>
      <c r="E529" s="14" t="s">
        <v>204</v>
      </c>
      <c r="F529" s="64">
        <f t="shared" si="15"/>
        <v>2.0202</v>
      </c>
      <c r="G529" s="64">
        <f>G530</f>
        <v>2.0202</v>
      </c>
      <c r="H529" s="64"/>
      <c r="I529" s="155"/>
    </row>
    <row r="530" spans="1:9" ht="18.75" customHeight="1">
      <c r="A530" s="27" t="s">
        <v>205</v>
      </c>
      <c r="B530" s="14" t="s">
        <v>362</v>
      </c>
      <c r="C530" s="14" t="s">
        <v>151</v>
      </c>
      <c r="D530" s="14" t="s">
        <v>861</v>
      </c>
      <c r="E530" s="14" t="s">
        <v>271</v>
      </c>
      <c r="F530" s="64">
        <f t="shared" si="15"/>
        <v>2.0202</v>
      </c>
      <c r="G530" s="64">
        <v>2.0202</v>
      </c>
      <c r="H530" s="64"/>
      <c r="I530" s="155"/>
    </row>
    <row r="531" spans="1:8" s="148" customFormat="1" ht="48" customHeight="1">
      <c r="A531" s="31" t="s">
        <v>452</v>
      </c>
      <c r="B531" s="28" t="s">
        <v>362</v>
      </c>
      <c r="C531" s="28" t="s">
        <v>151</v>
      </c>
      <c r="D531" s="28" t="s">
        <v>26</v>
      </c>
      <c r="E531" s="28" t="s">
        <v>391</v>
      </c>
      <c r="F531" s="65">
        <f t="shared" si="14"/>
        <v>39</v>
      </c>
      <c r="G531" s="65">
        <f>G532</f>
        <v>39</v>
      </c>
      <c r="H531" s="65">
        <f>H532</f>
        <v>0</v>
      </c>
    </row>
    <row r="532" spans="1:8" ht="33.75" customHeight="1">
      <c r="A532" s="32" t="s">
        <v>78</v>
      </c>
      <c r="B532" s="14" t="s">
        <v>362</v>
      </c>
      <c r="C532" s="14" t="s">
        <v>151</v>
      </c>
      <c r="D532" s="14" t="s">
        <v>27</v>
      </c>
      <c r="E532" s="14" t="s">
        <v>391</v>
      </c>
      <c r="F532" s="64">
        <f t="shared" si="14"/>
        <v>39</v>
      </c>
      <c r="G532" s="64">
        <f>G533</f>
        <v>39</v>
      </c>
      <c r="H532" s="64">
        <f>H533</f>
        <v>0</v>
      </c>
    </row>
    <row r="533" spans="1:8" ht="17.25" customHeight="1">
      <c r="A533" s="27" t="s">
        <v>205</v>
      </c>
      <c r="B533" s="14" t="s">
        <v>362</v>
      </c>
      <c r="C533" s="14" t="s">
        <v>151</v>
      </c>
      <c r="D533" s="14" t="s">
        <v>79</v>
      </c>
      <c r="E533" s="14" t="s">
        <v>271</v>
      </c>
      <c r="F533" s="64">
        <f t="shared" si="14"/>
        <v>39</v>
      </c>
      <c r="G533" s="64">
        <v>39</v>
      </c>
      <c r="H533" s="64"/>
    </row>
    <row r="534" spans="1:8" s="148" customFormat="1" ht="64.5" customHeight="1">
      <c r="A534" s="31" t="s">
        <v>454</v>
      </c>
      <c r="B534" s="28" t="s">
        <v>362</v>
      </c>
      <c r="C534" s="28" t="s">
        <v>151</v>
      </c>
      <c r="D534" s="28" t="s">
        <v>66</v>
      </c>
      <c r="E534" s="28" t="s">
        <v>391</v>
      </c>
      <c r="F534" s="65">
        <f t="shared" si="14"/>
        <v>2</v>
      </c>
      <c r="G534" s="65">
        <f>G535</f>
        <v>2</v>
      </c>
      <c r="H534" s="65">
        <f>H535</f>
        <v>0</v>
      </c>
    </row>
    <row r="535" spans="1:8" s="164" customFormat="1" ht="33.75" customHeight="1">
      <c r="A535" s="27" t="s">
        <v>323</v>
      </c>
      <c r="B535" s="14" t="s">
        <v>362</v>
      </c>
      <c r="C535" s="14" t="s">
        <v>151</v>
      </c>
      <c r="D535" s="14" t="s">
        <v>80</v>
      </c>
      <c r="E535" s="14" t="s">
        <v>271</v>
      </c>
      <c r="F535" s="64">
        <f t="shared" si="14"/>
        <v>2</v>
      </c>
      <c r="G535" s="64">
        <v>2</v>
      </c>
      <c r="H535" s="115"/>
    </row>
    <row r="536" spans="1:8" s="164" customFormat="1" ht="48" customHeight="1" hidden="1">
      <c r="A536" s="46" t="s">
        <v>416</v>
      </c>
      <c r="B536" s="28" t="s">
        <v>362</v>
      </c>
      <c r="C536" s="28" t="s">
        <v>151</v>
      </c>
      <c r="D536" s="28" t="s">
        <v>36</v>
      </c>
      <c r="E536" s="28" t="s">
        <v>391</v>
      </c>
      <c r="F536" s="65">
        <f t="shared" si="14"/>
        <v>0</v>
      </c>
      <c r="G536" s="65">
        <f>G537</f>
        <v>0</v>
      </c>
      <c r="H536" s="65">
        <f>H538</f>
        <v>0</v>
      </c>
    </row>
    <row r="537" spans="1:8" ht="35.25" customHeight="1" hidden="1">
      <c r="A537" s="27" t="s">
        <v>323</v>
      </c>
      <c r="B537" s="14" t="s">
        <v>362</v>
      </c>
      <c r="C537" s="14" t="s">
        <v>151</v>
      </c>
      <c r="D537" s="14" t="s">
        <v>478</v>
      </c>
      <c r="E537" s="14" t="s">
        <v>271</v>
      </c>
      <c r="F537" s="65">
        <f t="shared" si="14"/>
        <v>0</v>
      </c>
      <c r="G537" s="64"/>
      <c r="H537" s="152"/>
    </row>
    <row r="538" spans="1:8" ht="35.25" customHeight="1" hidden="1">
      <c r="A538" s="27" t="s">
        <v>486</v>
      </c>
      <c r="B538" s="14" t="s">
        <v>362</v>
      </c>
      <c r="C538" s="14" t="s">
        <v>151</v>
      </c>
      <c r="D538" s="14" t="s">
        <v>478</v>
      </c>
      <c r="E538" s="14" t="s">
        <v>271</v>
      </c>
      <c r="F538" s="64">
        <f t="shared" si="14"/>
        <v>0</v>
      </c>
      <c r="G538" s="64">
        <v>0</v>
      </c>
      <c r="H538" s="113"/>
    </row>
    <row r="539" spans="1:8" ht="81" customHeight="1">
      <c r="A539" s="31" t="s">
        <v>506</v>
      </c>
      <c r="B539" s="28" t="s">
        <v>362</v>
      </c>
      <c r="C539" s="28" t="s">
        <v>151</v>
      </c>
      <c r="D539" s="28" t="s">
        <v>504</v>
      </c>
      <c r="E539" s="28" t="s">
        <v>391</v>
      </c>
      <c r="F539" s="65">
        <f t="shared" si="14"/>
        <v>30.2</v>
      </c>
      <c r="G539" s="65">
        <f>G540</f>
        <v>30.2</v>
      </c>
      <c r="H539" s="137"/>
    </row>
    <row r="540" spans="1:8" ht="49.5" customHeight="1">
      <c r="A540" s="27" t="s">
        <v>203</v>
      </c>
      <c r="B540" s="14" t="s">
        <v>362</v>
      </c>
      <c r="C540" s="14" t="s">
        <v>151</v>
      </c>
      <c r="D540" s="14" t="s">
        <v>823</v>
      </c>
      <c r="E540" s="14" t="s">
        <v>204</v>
      </c>
      <c r="F540" s="64">
        <f t="shared" si="14"/>
        <v>30.2</v>
      </c>
      <c r="G540" s="64">
        <f>G541</f>
        <v>30.2</v>
      </c>
      <c r="H540" s="113"/>
    </row>
    <row r="541" spans="1:8" ht="27" customHeight="1">
      <c r="A541" s="27" t="s">
        <v>205</v>
      </c>
      <c r="B541" s="14" t="s">
        <v>362</v>
      </c>
      <c r="C541" s="14" t="s">
        <v>151</v>
      </c>
      <c r="D541" s="14" t="s">
        <v>823</v>
      </c>
      <c r="E541" s="14" t="s">
        <v>271</v>
      </c>
      <c r="F541" s="64">
        <f t="shared" si="14"/>
        <v>30.2</v>
      </c>
      <c r="G541" s="64">
        <v>30.2</v>
      </c>
      <c r="H541" s="113"/>
    </row>
    <row r="542" spans="1:9" ht="51" customHeight="1" hidden="1">
      <c r="A542" s="31" t="s">
        <v>457</v>
      </c>
      <c r="B542" s="28" t="s">
        <v>362</v>
      </c>
      <c r="C542" s="28" t="s">
        <v>151</v>
      </c>
      <c r="D542" s="28" t="s">
        <v>71</v>
      </c>
      <c r="E542" s="28" t="s">
        <v>391</v>
      </c>
      <c r="F542" s="65">
        <f aca="true" t="shared" si="16" ref="F542:F547">G542</f>
        <v>0</v>
      </c>
      <c r="G542" s="65">
        <f>G543</f>
        <v>0</v>
      </c>
      <c r="H542" s="152"/>
      <c r="I542" s="153"/>
    </row>
    <row r="543" spans="1:8" ht="71.25" customHeight="1" hidden="1">
      <c r="A543" s="32" t="s">
        <v>517</v>
      </c>
      <c r="B543" s="14" t="s">
        <v>362</v>
      </c>
      <c r="C543" s="14" t="s">
        <v>151</v>
      </c>
      <c r="D543" s="14" t="s">
        <v>481</v>
      </c>
      <c r="E543" s="14" t="s">
        <v>391</v>
      </c>
      <c r="F543" s="64">
        <f t="shared" si="16"/>
        <v>0</v>
      </c>
      <c r="G543" s="64">
        <f>G544+G546</f>
        <v>0</v>
      </c>
      <c r="H543" s="152"/>
    </row>
    <row r="544" spans="1:8" ht="44.25" customHeight="1" hidden="1">
      <c r="A544" s="27" t="s">
        <v>177</v>
      </c>
      <c r="B544" s="14" t="s">
        <v>362</v>
      </c>
      <c r="C544" s="14" t="s">
        <v>151</v>
      </c>
      <c r="D544" s="14" t="s">
        <v>481</v>
      </c>
      <c r="E544" s="14" t="s">
        <v>145</v>
      </c>
      <c r="F544" s="64">
        <f t="shared" si="16"/>
        <v>0</v>
      </c>
      <c r="G544" s="64">
        <f>G545</f>
        <v>0</v>
      </c>
      <c r="H544" s="152"/>
    </row>
    <row r="545" spans="1:8" ht="33" customHeight="1" hidden="1">
      <c r="A545" s="27" t="s">
        <v>193</v>
      </c>
      <c r="B545" s="14" t="s">
        <v>362</v>
      </c>
      <c r="C545" s="14" t="s">
        <v>151</v>
      </c>
      <c r="D545" s="14" t="s">
        <v>481</v>
      </c>
      <c r="E545" s="14" t="s">
        <v>152</v>
      </c>
      <c r="F545" s="64">
        <f t="shared" si="16"/>
        <v>0</v>
      </c>
      <c r="G545" s="64">
        <v>0</v>
      </c>
      <c r="H545" s="152"/>
    </row>
    <row r="546" spans="1:8" ht="39.75" customHeight="1" hidden="1">
      <c r="A546" s="27" t="s">
        <v>180</v>
      </c>
      <c r="B546" s="14" t="s">
        <v>362</v>
      </c>
      <c r="C546" s="14" t="s">
        <v>151</v>
      </c>
      <c r="D546" s="14" t="s">
        <v>481</v>
      </c>
      <c r="E546" s="14" t="s">
        <v>149</v>
      </c>
      <c r="F546" s="64">
        <f t="shared" si="16"/>
        <v>0</v>
      </c>
      <c r="G546" s="64">
        <f>G547</f>
        <v>0</v>
      </c>
      <c r="H546" s="152"/>
    </row>
    <row r="547" spans="1:8" ht="47.25" customHeight="1" hidden="1">
      <c r="A547" s="52" t="s">
        <v>181</v>
      </c>
      <c r="B547" s="14" t="s">
        <v>362</v>
      </c>
      <c r="C547" s="14" t="s">
        <v>151</v>
      </c>
      <c r="D547" s="14" t="s">
        <v>481</v>
      </c>
      <c r="E547" s="14" t="s">
        <v>182</v>
      </c>
      <c r="F547" s="64">
        <f t="shared" si="16"/>
        <v>0</v>
      </c>
      <c r="G547" s="64">
        <v>0</v>
      </c>
      <c r="H547" s="152"/>
    </row>
    <row r="548" spans="1:11" ht="18.75" customHeight="1">
      <c r="A548" s="62" t="s">
        <v>212</v>
      </c>
      <c r="B548" s="20" t="s">
        <v>213</v>
      </c>
      <c r="C548" s="20" t="s">
        <v>140</v>
      </c>
      <c r="D548" s="20" t="s">
        <v>304</v>
      </c>
      <c r="E548" s="20" t="s">
        <v>391</v>
      </c>
      <c r="F548" s="115">
        <f aca="true" t="shared" si="17" ref="F548:F554">G548+H548</f>
        <v>39748.64682</v>
      </c>
      <c r="G548" s="115">
        <f>G549+G554+G571</f>
        <v>777.6</v>
      </c>
      <c r="H548" s="115">
        <f>H549+H554+H571</f>
        <v>38971.04682</v>
      </c>
      <c r="I548" s="149"/>
      <c r="K548" s="153"/>
    </row>
    <row r="549" spans="1:8" s="148" customFormat="1" ht="17.25" customHeight="1">
      <c r="A549" s="42" t="s">
        <v>134</v>
      </c>
      <c r="B549" s="59" t="s">
        <v>213</v>
      </c>
      <c r="C549" s="59" t="s">
        <v>140</v>
      </c>
      <c r="D549" s="59" t="s">
        <v>304</v>
      </c>
      <c r="E549" s="59" t="s">
        <v>391</v>
      </c>
      <c r="F549" s="112">
        <f t="shared" si="17"/>
        <v>767.6</v>
      </c>
      <c r="G549" s="112">
        <f>G550</f>
        <v>767.6</v>
      </c>
      <c r="H549" s="112">
        <f>H550</f>
        <v>0</v>
      </c>
    </row>
    <row r="550" spans="1:9" ht="33" customHeight="1">
      <c r="A550" s="27" t="s">
        <v>569</v>
      </c>
      <c r="B550" s="14" t="s">
        <v>213</v>
      </c>
      <c r="C550" s="14" t="s">
        <v>140</v>
      </c>
      <c r="D550" s="14" t="s">
        <v>81</v>
      </c>
      <c r="E550" s="14" t="s">
        <v>391</v>
      </c>
      <c r="F550" s="64">
        <f t="shared" si="17"/>
        <v>767.6</v>
      </c>
      <c r="G550" s="64">
        <f>G551</f>
        <v>767.6</v>
      </c>
      <c r="H550" s="64">
        <f>H551</f>
        <v>0</v>
      </c>
      <c r="I550" s="149"/>
    </row>
    <row r="551" spans="1:8" ht="50.25" customHeight="1">
      <c r="A551" s="27" t="s">
        <v>135</v>
      </c>
      <c r="B551" s="14" t="s">
        <v>213</v>
      </c>
      <c r="C551" s="14" t="s">
        <v>140</v>
      </c>
      <c r="D551" s="14" t="s">
        <v>81</v>
      </c>
      <c r="E551" s="14" t="s">
        <v>391</v>
      </c>
      <c r="F551" s="64">
        <f t="shared" si="17"/>
        <v>767.6</v>
      </c>
      <c r="G551" s="64">
        <f>G552</f>
        <v>767.6</v>
      </c>
      <c r="H551" s="64">
        <f>H553</f>
        <v>0</v>
      </c>
    </row>
    <row r="552" spans="1:8" ht="31.5" customHeight="1">
      <c r="A552" s="27" t="s">
        <v>194</v>
      </c>
      <c r="B552" s="14" t="s">
        <v>213</v>
      </c>
      <c r="C552" s="14" t="s">
        <v>140</v>
      </c>
      <c r="D552" s="14" t="s">
        <v>81</v>
      </c>
      <c r="E552" s="14" t="s">
        <v>150</v>
      </c>
      <c r="F552" s="64">
        <f t="shared" si="17"/>
        <v>767.6</v>
      </c>
      <c r="G552" s="64">
        <f>G553</f>
        <v>767.6</v>
      </c>
      <c r="H552" s="64"/>
    </row>
    <row r="553" spans="1:8" s="164" customFormat="1" ht="32.25" customHeight="1">
      <c r="A553" s="27" t="s">
        <v>195</v>
      </c>
      <c r="B553" s="14" t="s">
        <v>213</v>
      </c>
      <c r="C553" s="14" t="s">
        <v>140</v>
      </c>
      <c r="D553" s="14" t="s">
        <v>81</v>
      </c>
      <c r="E553" s="14" t="s">
        <v>196</v>
      </c>
      <c r="F553" s="64">
        <f t="shared" si="17"/>
        <v>767.6</v>
      </c>
      <c r="G553" s="64">
        <f>683+84.6</f>
        <v>767.6</v>
      </c>
      <c r="H553" s="115"/>
    </row>
    <row r="554" spans="1:8" s="164" customFormat="1" ht="18.75" customHeight="1">
      <c r="A554" s="42" t="s">
        <v>570</v>
      </c>
      <c r="B554" s="59" t="s">
        <v>213</v>
      </c>
      <c r="C554" s="59" t="s">
        <v>147</v>
      </c>
      <c r="D554" s="59" t="s">
        <v>304</v>
      </c>
      <c r="E554" s="59" t="s">
        <v>391</v>
      </c>
      <c r="F554" s="112">
        <f t="shared" si="17"/>
        <v>1215</v>
      </c>
      <c r="G554" s="112">
        <f>G555+G563</f>
        <v>10</v>
      </c>
      <c r="H554" s="112">
        <f>H555+H563</f>
        <v>1205</v>
      </c>
    </row>
    <row r="555" spans="1:8" s="164" customFormat="1" ht="51" customHeight="1">
      <c r="A555" s="27" t="s">
        <v>452</v>
      </c>
      <c r="B555" s="14" t="s">
        <v>213</v>
      </c>
      <c r="C555" s="14" t="s">
        <v>147</v>
      </c>
      <c r="D555" s="14" t="s">
        <v>26</v>
      </c>
      <c r="E555" s="14" t="s">
        <v>391</v>
      </c>
      <c r="F555" s="64">
        <f>G555+H555</f>
        <v>1205</v>
      </c>
      <c r="G555" s="64"/>
      <c r="H555" s="64">
        <f>H556</f>
        <v>1205</v>
      </c>
    </row>
    <row r="556" spans="1:8" s="164" customFormat="1" ht="36" customHeight="1">
      <c r="A556" s="27" t="s">
        <v>456</v>
      </c>
      <c r="B556" s="14" t="s">
        <v>213</v>
      </c>
      <c r="C556" s="14" t="s">
        <v>147</v>
      </c>
      <c r="D556" s="14" t="s">
        <v>44</v>
      </c>
      <c r="E556" s="14" t="s">
        <v>391</v>
      </c>
      <c r="F556" s="64">
        <f>G556+H556</f>
        <v>1205</v>
      </c>
      <c r="G556" s="64"/>
      <c r="H556" s="64">
        <f>H557</f>
        <v>1205</v>
      </c>
    </row>
    <row r="557" spans="1:8" s="164" customFormat="1" ht="97.5" customHeight="1">
      <c r="A557" s="27" t="s">
        <v>571</v>
      </c>
      <c r="B557" s="14" t="s">
        <v>213</v>
      </c>
      <c r="C557" s="14" t="s">
        <v>147</v>
      </c>
      <c r="D557" s="14" t="s">
        <v>44</v>
      </c>
      <c r="E557" s="14" t="s">
        <v>391</v>
      </c>
      <c r="F557" s="64">
        <f>H557</f>
        <v>1205</v>
      </c>
      <c r="G557" s="64"/>
      <c r="H557" s="64">
        <f>H558+H560</f>
        <v>1205</v>
      </c>
    </row>
    <row r="558" spans="1:8" s="164" customFormat="1" ht="33" customHeight="1">
      <c r="A558" s="27" t="s">
        <v>194</v>
      </c>
      <c r="B558" s="14" t="s">
        <v>213</v>
      </c>
      <c r="C558" s="14" t="s">
        <v>147</v>
      </c>
      <c r="D558" s="14" t="s">
        <v>856</v>
      </c>
      <c r="E558" s="14" t="s">
        <v>150</v>
      </c>
      <c r="F558" s="64">
        <f>H558</f>
        <v>1205</v>
      </c>
      <c r="G558" s="64"/>
      <c r="H558" s="64">
        <f>H559</f>
        <v>1205</v>
      </c>
    </row>
    <row r="559" spans="1:8" s="164" customFormat="1" ht="36" customHeight="1">
      <c r="A559" s="27" t="s">
        <v>197</v>
      </c>
      <c r="B559" s="14" t="s">
        <v>213</v>
      </c>
      <c r="C559" s="14" t="s">
        <v>147</v>
      </c>
      <c r="D559" s="14" t="s">
        <v>856</v>
      </c>
      <c r="E559" s="14" t="s">
        <v>198</v>
      </c>
      <c r="F559" s="64">
        <f>H559</f>
        <v>1205</v>
      </c>
      <c r="G559" s="64"/>
      <c r="H559" s="64">
        <f>2160-955</f>
        <v>1205</v>
      </c>
    </row>
    <row r="560" spans="1:8" s="148" customFormat="1" ht="57" customHeight="1" hidden="1">
      <c r="A560" s="31" t="s">
        <v>795</v>
      </c>
      <c r="B560" s="28" t="s">
        <v>213</v>
      </c>
      <c r="C560" s="28" t="s">
        <v>147</v>
      </c>
      <c r="D560" s="28" t="s">
        <v>82</v>
      </c>
      <c r="E560" s="28" t="s">
        <v>391</v>
      </c>
      <c r="F560" s="65">
        <f>G560+H560</f>
        <v>0</v>
      </c>
      <c r="G560" s="65">
        <f>G561</f>
        <v>0</v>
      </c>
      <c r="H560" s="65">
        <f>H562</f>
        <v>0</v>
      </c>
    </row>
    <row r="561" spans="1:8" s="148" customFormat="1" ht="32.25" customHeight="1" hidden="1">
      <c r="A561" s="27" t="s">
        <v>194</v>
      </c>
      <c r="B561" s="14" t="s">
        <v>213</v>
      </c>
      <c r="C561" s="14" t="s">
        <v>147</v>
      </c>
      <c r="D561" s="14" t="s">
        <v>83</v>
      </c>
      <c r="E561" s="14" t="s">
        <v>150</v>
      </c>
      <c r="F561" s="64">
        <f>G561</f>
        <v>0</v>
      </c>
      <c r="G561" s="64">
        <f>G562</f>
        <v>0</v>
      </c>
      <c r="H561" s="64"/>
    </row>
    <row r="562" spans="1:8" ht="31.5" customHeight="1" hidden="1">
      <c r="A562" s="27" t="s">
        <v>197</v>
      </c>
      <c r="B562" s="14" t="s">
        <v>213</v>
      </c>
      <c r="C562" s="14" t="s">
        <v>147</v>
      </c>
      <c r="D562" s="14" t="s">
        <v>83</v>
      </c>
      <c r="E562" s="14" t="s">
        <v>198</v>
      </c>
      <c r="F562" s="64">
        <f>G562+H562</f>
        <v>0</v>
      </c>
      <c r="G562" s="64">
        <f>200-200</f>
        <v>0</v>
      </c>
      <c r="H562" s="64"/>
    </row>
    <row r="563" spans="1:8" ht="31.5" customHeight="1">
      <c r="A563" s="27" t="s">
        <v>143</v>
      </c>
      <c r="B563" s="14" t="s">
        <v>213</v>
      </c>
      <c r="C563" s="14" t="s">
        <v>147</v>
      </c>
      <c r="D563" s="14" t="s">
        <v>304</v>
      </c>
      <c r="E563" s="14" t="s">
        <v>391</v>
      </c>
      <c r="F563" s="64">
        <f>G563+H563</f>
        <v>10</v>
      </c>
      <c r="G563" s="64">
        <f aca="true" t="shared" si="18" ref="G563:H566">G564</f>
        <v>10</v>
      </c>
      <c r="H563" s="64">
        <f t="shared" si="18"/>
        <v>0</v>
      </c>
    </row>
    <row r="564" spans="1:8" ht="46.5" customHeight="1">
      <c r="A564" s="27" t="s">
        <v>144</v>
      </c>
      <c r="B564" s="14" t="s">
        <v>213</v>
      </c>
      <c r="C564" s="14" t="s">
        <v>147</v>
      </c>
      <c r="D564" s="14" t="s">
        <v>304</v>
      </c>
      <c r="E564" s="14" t="s">
        <v>391</v>
      </c>
      <c r="F564" s="64">
        <f>F565</f>
        <v>0</v>
      </c>
      <c r="G564" s="64">
        <f>G565+G568</f>
        <v>10</v>
      </c>
      <c r="H564" s="64">
        <f t="shared" si="18"/>
        <v>0</v>
      </c>
    </row>
    <row r="565" spans="1:8" ht="240" customHeight="1" hidden="1">
      <c r="A565" s="46" t="s">
        <v>881</v>
      </c>
      <c r="B565" s="14" t="s">
        <v>213</v>
      </c>
      <c r="C565" s="14" t="s">
        <v>147</v>
      </c>
      <c r="D565" s="28" t="s">
        <v>872</v>
      </c>
      <c r="E565" s="28" t="s">
        <v>391</v>
      </c>
      <c r="F565" s="65">
        <f aca="true" t="shared" si="19" ref="F565:F570">G565+H565</f>
        <v>0</v>
      </c>
      <c r="G565" s="65">
        <f t="shared" si="18"/>
        <v>0</v>
      </c>
      <c r="H565" s="65">
        <f t="shared" si="18"/>
        <v>0</v>
      </c>
    </row>
    <row r="566" spans="1:8" ht="20.25" customHeight="1" hidden="1">
      <c r="A566" s="52" t="s">
        <v>185</v>
      </c>
      <c r="B566" s="14" t="s">
        <v>213</v>
      </c>
      <c r="C566" s="14" t="s">
        <v>147</v>
      </c>
      <c r="D566" s="14" t="s">
        <v>872</v>
      </c>
      <c r="E566" s="14" t="s">
        <v>186</v>
      </c>
      <c r="F566" s="64">
        <f t="shared" si="19"/>
        <v>0</v>
      </c>
      <c r="G566" s="64">
        <f t="shared" si="18"/>
        <v>0</v>
      </c>
      <c r="H566" s="64">
        <f t="shared" si="18"/>
        <v>0</v>
      </c>
    </row>
    <row r="567" spans="1:8" ht="81" customHeight="1" hidden="1">
      <c r="A567" s="52" t="s">
        <v>879</v>
      </c>
      <c r="B567" s="14" t="s">
        <v>213</v>
      </c>
      <c r="C567" s="14" t="s">
        <v>147</v>
      </c>
      <c r="D567" s="14" t="s">
        <v>872</v>
      </c>
      <c r="E567" s="14" t="s">
        <v>369</v>
      </c>
      <c r="F567" s="64">
        <f t="shared" si="19"/>
        <v>0</v>
      </c>
      <c r="G567" s="64">
        <v>0</v>
      </c>
      <c r="H567" s="64">
        <f>89.342-89.342</f>
        <v>0</v>
      </c>
    </row>
    <row r="568" spans="1:8" ht="65.25" customHeight="1">
      <c r="A568" s="46" t="s">
        <v>938</v>
      </c>
      <c r="B568" s="28" t="s">
        <v>213</v>
      </c>
      <c r="C568" s="28" t="s">
        <v>147</v>
      </c>
      <c r="D568" s="28" t="s">
        <v>937</v>
      </c>
      <c r="E568" s="28" t="s">
        <v>391</v>
      </c>
      <c r="F568" s="65">
        <f t="shared" si="19"/>
        <v>10</v>
      </c>
      <c r="G568" s="65">
        <f>G569</f>
        <v>10</v>
      </c>
      <c r="H568" s="65"/>
    </row>
    <row r="569" spans="1:8" ht="33.75" customHeight="1">
      <c r="A569" s="27" t="s">
        <v>194</v>
      </c>
      <c r="B569" s="14" t="s">
        <v>213</v>
      </c>
      <c r="C569" s="14" t="s">
        <v>147</v>
      </c>
      <c r="D569" s="14" t="s">
        <v>937</v>
      </c>
      <c r="E569" s="14" t="s">
        <v>150</v>
      </c>
      <c r="F569" s="64">
        <f t="shared" si="19"/>
        <v>10</v>
      </c>
      <c r="G569" s="64">
        <f>G570</f>
        <v>10</v>
      </c>
      <c r="H569" s="64"/>
    </row>
    <row r="570" spans="1:8" ht="34.5" customHeight="1">
      <c r="A570" s="27" t="s">
        <v>197</v>
      </c>
      <c r="B570" s="14" t="s">
        <v>213</v>
      </c>
      <c r="C570" s="14" t="s">
        <v>147</v>
      </c>
      <c r="D570" s="14" t="s">
        <v>937</v>
      </c>
      <c r="E570" s="14" t="s">
        <v>198</v>
      </c>
      <c r="F570" s="64">
        <f t="shared" si="19"/>
        <v>10</v>
      </c>
      <c r="G570" s="64">
        <v>10</v>
      </c>
      <c r="H570" s="64"/>
    </row>
    <row r="571" spans="1:11" ht="18.75" customHeight="1">
      <c r="A571" s="42" t="s">
        <v>384</v>
      </c>
      <c r="B571" s="59" t="s">
        <v>213</v>
      </c>
      <c r="C571" s="59" t="s">
        <v>151</v>
      </c>
      <c r="D571" s="59" t="s">
        <v>304</v>
      </c>
      <c r="E571" s="59" t="s">
        <v>391</v>
      </c>
      <c r="F571" s="112">
        <f aca="true" t="shared" si="20" ref="F571:F576">G571+H571</f>
        <v>37766.04682</v>
      </c>
      <c r="G571" s="112">
        <f>G583</f>
        <v>0</v>
      </c>
      <c r="H571" s="112">
        <f>H574+H583+H577+H588+H594</f>
        <v>37766.04682</v>
      </c>
      <c r="K571" s="153"/>
    </row>
    <row r="572" spans="1:8" ht="47.25" customHeight="1">
      <c r="A572" s="31" t="s">
        <v>453</v>
      </c>
      <c r="B572" s="14" t="s">
        <v>213</v>
      </c>
      <c r="C572" s="14" t="s">
        <v>151</v>
      </c>
      <c r="D572" s="14" t="s">
        <v>26</v>
      </c>
      <c r="E572" s="14" t="s">
        <v>391</v>
      </c>
      <c r="F572" s="64">
        <f t="shared" si="20"/>
        <v>3544.7199999999993</v>
      </c>
      <c r="G572" s="64">
        <f>G573</f>
        <v>0</v>
      </c>
      <c r="H572" s="64">
        <f>H573</f>
        <v>3544.7199999999993</v>
      </c>
    </row>
    <row r="573" spans="1:8" ht="33" customHeight="1">
      <c r="A573" s="32" t="s">
        <v>84</v>
      </c>
      <c r="B573" s="14" t="s">
        <v>213</v>
      </c>
      <c r="C573" s="14" t="s">
        <v>151</v>
      </c>
      <c r="D573" s="14" t="s">
        <v>39</v>
      </c>
      <c r="E573" s="14" t="s">
        <v>391</v>
      </c>
      <c r="F573" s="64">
        <f t="shared" si="20"/>
        <v>3544.7199999999993</v>
      </c>
      <c r="G573" s="64">
        <f>G574</f>
        <v>0</v>
      </c>
      <c r="H573" s="64">
        <f>H574</f>
        <v>3544.7199999999993</v>
      </c>
    </row>
    <row r="574" spans="1:10" ht="79.5" customHeight="1">
      <c r="A574" s="31" t="s">
        <v>215</v>
      </c>
      <c r="B574" s="14" t="s">
        <v>213</v>
      </c>
      <c r="C574" s="14" t="s">
        <v>151</v>
      </c>
      <c r="D574" s="14" t="s">
        <v>85</v>
      </c>
      <c r="E574" s="14" t="s">
        <v>391</v>
      </c>
      <c r="F574" s="64">
        <f t="shared" si="20"/>
        <v>3544.7199999999993</v>
      </c>
      <c r="G574" s="64">
        <f>G576</f>
        <v>0</v>
      </c>
      <c r="H574" s="64">
        <f>H576+H575</f>
        <v>3544.7199999999993</v>
      </c>
      <c r="J574" s="149"/>
    </row>
    <row r="575" spans="1:8" ht="47.25" customHeight="1">
      <c r="A575" s="52" t="s">
        <v>181</v>
      </c>
      <c r="B575" s="14" t="s">
        <v>213</v>
      </c>
      <c r="C575" s="14" t="s">
        <v>151</v>
      </c>
      <c r="D575" s="14" t="s">
        <v>85</v>
      </c>
      <c r="E575" s="14" t="s">
        <v>182</v>
      </c>
      <c r="F575" s="64">
        <f t="shared" si="20"/>
        <v>53.17091</v>
      </c>
      <c r="G575" s="64"/>
      <c r="H575" s="64">
        <f>90.529-37.35809</f>
        <v>53.17091</v>
      </c>
    </row>
    <row r="576" spans="1:8" ht="35.25" customHeight="1">
      <c r="A576" s="27" t="s">
        <v>195</v>
      </c>
      <c r="B576" s="14" t="s">
        <v>213</v>
      </c>
      <c r="C576" s="14" t="s">
        <v>151</v>
      </c>
      <c r="D576" s="14" t="s">
        <v>85</v>
      </c>
      <c r="E576" s="14" t="s">
        <v>196</v>
      </c>
      <c r="F576" s="64">
        <f t="shared" si="20"/>
        <v>3491.5490899999995</v>
      </c>
      <c r="G576" s="64"/>
      <c r="H576" s="64">
        <f>5944.73-2453.18091</f>
        <v>3491.5490899999995</v>
      </c>
    </row>
    <row r="577" spans="1:8" ht="48" customHeight="1">
      <c r="A577" s="31" t="s">
        <v>453</v>
      </c>
      <c r="B577" s="28" t="s">
        <v>213</v>
      </c>
      <c r="C577" s="28" t="s">
        <v>151</v>
      </c>
      <c r="D577" s="28" t="s">
        <v>26</v>
      </c>
      <c r="E577" s="28" t="s">
        <v>391</v>
      </c>
      <c r="F577" s="65">
        <f aca="true" t="shared" si="21" ref="F577:F587">H577</f>
        <v>300</v>
      </c>
      <c r="G577" s="65">
        <v>0</v>
      </c>
      <c r="H577" s="65">
        <f>H578</f>
        <v>300</v>
      </c>
    </row>
    <row r="578" spans="1:8" ht="34.5" customHeight="1">
      <c r="A578" s="134" t="s">
        <v>441</v>
      </c>
      <c r="B578" s="28" t="s">
        <v>213</v>
      </c>
      <c r="C578" s="28" t="s">
        <v>151</v>
      </c>
      <c r="D578" s="28" t="s">
        <v>61</v>
      </c>
      <c r="E578" s="28" t="s">
        <v>391</v>
      </c>
      <c r="F578" s="65">
        <f t="shared" si="21"/>
        <v>300</v>
      </c>
      <c r="G578" s="65">
        <v>0</v>
      </c>
      <c r="H578" s="65">
        <f>H579</f>
        <v>300</v>
      </c>
    </row>
    <row r="579" spans="1:8" ht="61.5" customHeight="1">
      <c r="A579" s="31" t="s">
        <v>707</v>
      </c>
      <c r="B579" s="14" t="s">
        <v>213</v>
      </c>
      <c r="C579" s="14" t="s">
        <v>151</v>
      </c>
      <c r="D579" s="28" t="s">
        <v>61</v>
      </c>
      <c r="E579" s="28" t="s">
        <v>391</v>
      </c>
      <c r="F579" s="64">
        <f t="shared" si="21"/>
        <v>300</v>
      </c>
      <c r="G579" s="64">
        <v>0</v>
      </c>
      <c r="H579" s="64">
        <f>H580</f>
        <v>300</v>
      </c>
    </row>
    <row r="580" spans="1:8" ht="35.25" customHeight="1">
      <c r="A580" s="52" t="s">
        <v>194</v>
      </c>
      <c r="B580" s="14" t="s">
        <v>213</v>
      </c>
      <c r="C580" s="14" t="s">
        <v>151</v>
      </c>
      <c r="D580" s="14" t="s">
        <v>62</v>
      </c>
      <c r="E580" s="14" t="s">
        <v>150</v>
      </c>
      <c r="F580" s="64">
        <f t="shared" si="21"/>
        <v>300</v>
      </c>
      <c r="G580" s="64">
        <v>0</v>
      </c>
      <c r="H580" s="64">
        <f>H581</f>
        <v>300</v>
      </c>
    </row>
    <row r="581" spans="1:8" ht="32.25" customHeight="1">
      <c r="A581" s="52" t="s">
        <v>195</v>
      </c>
      <c r="B581" s="14" t="s">
        <v>213</v>
      </c>
      <c r="C581" s="14" t="s">
        <v>151</v>
      </c>
      <c r="D581" s="14" t="s">
        <v>62</v>
      </c>
      <c r="E581" s="14" t="s">
        <v>196</v>
      </c>
      <c r="F581" s="64">
        <f t="shared" si="21"/>
        <v>300</v>
      </c>
      <c r="G581" s="64">
        <v>0</v>
      </c>
      <c r="H581" s="64">
        <v>300</v>
      </c>
    </row>
    <row r="582" spans="1:8" ht="131.25" customHeight="1">
      <c r="A582" s="42" t="s">
        <v>817</v>
      </c>
      <c r="B582" s="59" t="s">
        <v>213</v>
      </c>
      <c r="C582" s="59" t="s">
        <v>151</v>
      </c>
      <c r="D582" s="59" t="s">
        <v>765</v>
      </c>
      <c r="E582" s="59" t="s">
        <v>391</v>
      </c>
      <c r="F582" s="112">
        <f>G582+H582</f>
        <v>33921.32682</v>
      </c>
      <c r="G582" s="112">
        <f>G583+G588+G594</f>
        <v>0</v>
      </c>
      <c r="H582" s="112">
        <f>H583+H588+H594</f>
        <v>33921.32682</v>
      </c>
    </row>
    <row r="583" spans="1:8" ht="66.75" customHeight="1">
      <c r="A583" s="46" t="s">
        <v>536</v>
      </c>
      <c r="B583" s="28" t="s">
        <v>213</v>
      </c>
      <c r="C583" s="28" t="s">
        <v>151</v>
      </c>
      <c r="D583" s="14" t="s">
        <v>771</v>
      </c>
      <c r="E583" s="28" t="s">
        <v>391</v>
      </c>
      <c r="F583" s="65">
        <f t="shared" si="21"/>
        <v>21464.92</v>
      </c>
      <c r="G583" s="65"/>
      <c r="H583" s="65">
        <f>H584+H586</f>
        <v>21464.92</v>
      </c>
    </row>
    <row r="584" spans="1:8" ht="37.5" customHeight="1">
      <c r="A584" s="27" t="s">
        <v>180</v>
      </c>
      <c r="B584" s="14" t="s">
        <v>213</v>
      </c>
      <c r="C584" s="14" t="s">
        <v>151</v>
      </c>
      <c r="D584" s="14" t="s">
        <v>537</v>
      </c>
      <c r="E584" s="14" t="s">
        <v>149</v>
      </c>
      <c r="F584" s="64">
        <f>G584+H584</f>
        <v>247.654</v>
      </c>
      <c r="G584" s="65"/>
      <c r="H584" s="64">
        <f>H585</f>
        <v>247.654</v>
      </c>
    </row>
    <row r="585" spans="1:8" ht="52.5" customHeight="1">
      <c r="A585" s="52" t="s">
        <v>181</v>
      </c>
      <c r="B585" s="14" t="s">
        <v>213</v>
      </c>
      <c r="C585" s="14" t="s">
        <v>151</v>
      </c>
      <c r="D585" s="14" t="s">
        <v>537</v>
      </c>
      <c r="E585" s="14" t="s">
        <v>182</v>
      </c>
      <c r="F585" s="64">
        <f>G585+H585</f>
        <v>247.654</v>
      </c>
      <c r="G585" s="65"/>
      <c r="H585" s="64">
        <f>383.52-170+34.134</f>
        <v>247.654</v>
      </c>
    </row>
    <row r="586" spans="1:8" ht="48.75" customHeight="1">
      <c r="A586" s="52" t="s">
        <v>572</v>
      </c>
      <c r="B586" s="14" t="s">
        <v>213</v>
      </c>
      <c r="C586" s="14" t="s">
        <v>151</v>
      </c>
      <c r="D586" s="14" t="s">
        <v>771</v>
      </c>
      <c r="E586" s="14" t="s">
        <v>573</v>
      </c>
      <c r="F586" s="64">
        <f t="shared" si="21"/>
        <v>21217.266</v>
      </c>
      <c r="G586" s="64"/>
      <c r="H586" s="64">
        <f>H587</f>
        <v>21217.266</v>
      </c>
    </row>
    <row r="587" spans="1:9" ht="17.25" customHeight="1">
      <c r="A587" s="52" t="s">
        <v>574</v>
      </c>
      <c r="B587" s="14" t="s">
        <v>213</v>
      </c>
      <c r="C587" s="14" t="s">
        <v>151</v>
      </c>
      <c r="D587" s="14" t="s">
        <v>771</v>
      </c>
      <c r="E587" s="14" t="s">
        <v>575</v>
      </c>
      <c r="F587" s="64">
        <f t="shared" si="21"/>
        <v>21217.266</v>
      </c>
      <c r="G587" s="64"/>
      <c r="H587" s="64">
        <f>21118.07693-383.52+170+33.84307+325.52-12.52-34.134</f>
        <v>21217.266</v>
      </c>
      <c r="I587" s="156"/>
    </row>
    <row r="588" spans="1:11" ht="115.5" customHeight="1">
      <c r="A588" s="31" t="s">
        <v>645</v>
      </c>
      <c r="B588" s="28" t="s">
        <v>213</v>
      </c>
      <c r="C588" s="28" t="s">
        <v>151</v>
      </c>
      <c r="D588" s="14" t="s">
        <v>769</v>
      </c>
      <c r="E588" s="28" t="s">
        <v>391</v>
      </c>
      <c r="F588" s="65">
        <f aca="true" t="shared" si="22" ref="F588:F598">G588+H588</f>
        <v>12213.829310000001</v>
      </c>
      <c r="G588" s="65"/>
      <c r="H588" s="65">
        <f>H589+H591</f>
        <v>12213.829310000001</v>
      </c>
      <c r="I588" s="181"/>
      <c r="J588" s="180"/>
      <c r="K588" s="181"/>
    </row>
    <row r="589" spans="1:9" ht="36.75" customHeight="1">
      <c r="A589" s="27" t="s">
        <v>180</v>
      </c>
      <c r="B589" s="14" t="s">
        <v>213</v>
      </c>
      <c r="C589" s="14" t="s">
        <v>151</v>
      </c>
      <c r="D589" s="14" t="s">
        <v>769</v>
      </c>
      <c r="E589" s="14" t="s">
        <v>149</v>
      </c>
      <c r="F589" s="64">
        <f>H589</f>
        <v>150</v>
      </c>
      <c r="G589" s="64"/>
      <c r="H589" s="64">
        <f>H590</f>
        <v>150</v>
      </c>
      <c r="I589" s="156"/>
    </row>
    <row r="590" spans="1:9" ht="50.25" customHeight="1">
      <c r="A590" s="52" t="s">
        <v>181</v>
      </c>
      <c r="B590" s="14" t="s">
        <v>213</v>
      </c>
      <c r="C590" s="14" t="s">
        <v>151</v>
      </c>
      <c r="D590" s="14" t="s">
        <v>769</v>
      </c>
      <c r="E590" s="14" t="s">
        <v>182</v>
      </c>
      <c r="F590" s="64">
        <f>H590</f>
        <v>150</v>
      </c>
      <c r="G590" s="64"/>
      <c r="H590" s="64">
        <v>150</v>
      </c>
      <c r="I590" s="156"/>
    </row>
    <row r="591" spans="1:9" ht="30" customHeight="1">
      <c r="A591" s="27" t="s">
        <v>194</v>
      </c>
      <c r="B591" s="14" t="s">
        <v>213</v>
      </c>
      <c r="C591" s="14" t="s">
        <v>151</v>
      </c>
      <c r="D591" s="14" t="s">
        <v>769</v>
      </c>
      <c r="E591" s="14" t="s">
        <v>150</v>
      </c>
      <c r="F591" s="64">
        <f t="shared" si="22"/>
        <v>12063.829310000001</v>
      </c>
      <c r="G591" s="64"/>
      <c r="H591" s="64">
        <f>H592+H593</f>
        <v>12063.829310000001</v>
      </c>
      <c r="I591" s="156"/>
    </row>
    <row r="592" spans="1:9" ht="30.75" customHeight="1">
      <c r="A592" s="52" t="s">
        <v>195</v>
      </c>
      <c r="B592" s="14" t="s">
        <v>213</v>
      </c>
      <c r="C592" s="14" t="s">
        <v>151</v>
      </c>
      <c r="D592" s="14" t="s">
        <v>769</v>
      </c>
      <c r="E592" s="14" t="s">
        <v>196</v>
      </c>
      <c r="F592" s="64">
        <f t="shared" si="22"/>
        <v>9943.42256</v>
      </c>
      <c r="G592" s="64"/>
      <c r="H592" s="64">
        <f>10649.63122-1788.71266+341.904+740.6</f>
        <v>9943.42256</v>
      </c>
      <c r="I592" s="156"/>
    </row>
    <row r="593" spans="1:9" ht="30.75" customHeight="1">
      <c r="A593" s="27" t="s">
        <v>197</v>
      </c>
      <c r="B593" s="14" t="s">
        <v>213</v>
      </c>
      <c r="C593" s="14" t="s">
        <v>151</v>
      </c>
      <c r="D593" s="14" t="s">
        <v>769</v>
      </c>
      <c r="E593" s="14" t="s">
        <v>198</v>
      </c>
      <c r="F593" s="64">
        <f t="shared" si="22"/>
        <v>2120.40675</v>
      </c>
      <c r="G593" s="64"/>
      <c r="H593" s="64">
        <f>3600+400-1121.904-717.08925-40.6</f>
        <v>2120.40675</v>
      </c>
      <c r="I593" s="156"/>
    </row>
    <row r="594" spans="1:10" ht="94.5" customHeight="1">
      <c r="A594" s="31" t="s">
        <v>647</v>
      </c>
      <c r="B594" s="28" t="s">
        <v>213</v>
      </c>
      <c r="C594" s="28" t="s">
        <v>151</v>
      </c>
      <c r="D594" s="14" t="s">
        <v>770</v>
      </c>
      <c r="E594" s="28" t="s">
        <v>391</v>
      </c>
      <c r="F594" s="65">
        <f t="shared" si="22"/>
        <v>242.57751000000002</v>
      </c>
      <c r="G594" s="65"/>
      <c r="H594" s="65">
        <f>H595+H597</f>
        <v>242.57751000000002</v>
      </c>
      <c r="I594" s="156"/>
      <c r="J594" s="156"/>
    </row>
    <row r="595" spans="1:9" ht="36.75" customHeight="1">
      <c r="A595" s="27" t="s">
        <v>180</v>
      </c>
      <c r="B595" s="14" t="s">
        <v>213</v>
      </c>
      <c r="C595" s="14" t="s">
        <v>151</v>
      </c>
      <c r="D595" s="14" t="s">
        <v>770</v>
      </c>
      <c r="E595" s="14" t="s">
        <v>149</v>
      </c>
      <c r="F595" s="64">
        <f>H595</f>
        <v>5</v>
      </c>
      <c r="G595" s="64"/>
      <c r="H595" s="64">
        <f>H596</f>
        <v>5</v>
      </c>
      <c r="I595" s="156"/>
    </row>
    <row r="596" spans="1:9" ht="50.25" customHeight="1">
      <c r="A596" s="52" t="s">
        <v>181</v>
      </c>
      <c r="B596" s="14" t="s">
        <v>213</v>
      </c>
      <c r="C596" s="14" t="s">
        <v>151</v>
      </c>
      <c r="D596" s="14" t="s">
        <v>770</v>
      </c>
      <c r="E596" s="14" t="s">
        <v>182</v>
      </c>
      <c r="F596" s="64">
        <f>H596</f>
        <v>5</v>
      </c>
      <c r="G596" s="64"/>
      <c r="H596" s="64">
        <v>5</v>
      </c>
      <c r="I596" s="156"/>
    </row>
    <row r="597" spans="1:9" ht="30.75" customHeight="1">
      <c r="A597" s="27" t="s">
        <v>194</v>
      </c>
      <c r="B597" s="14" t="s">
        <v>213</v>
      </c>
      <c r="C597" s="14" t="s">
        <v>151</v>
      </c>
      <c r="D597" s="14" t="s">
        <v>770</v>
      </c>
      <c r="E597" s="14" t="s">
        <v>150</v>
      </c>
      <c r="F597" s="64">
        <f t="shared" si="22"/>
        <v>237.57751000000002</v>
      </c>
      <c r="G597" s="64"/>
      <c r="H597" s="64">
        <f>H598</f>
        <v>237.57751000000002</v>
      </c>
      <c r="I597" s="156"/>
    </row>
    <row r="598" spans="1:9" ht="32.25" customHeight="1">
      <c r="A598" s="52" t="s">
        <v>195</v>
      </c>
      <c r="B598" s="14" t="s">
        <v>213</v>
      </c>
      <c r="C598" s="14" t="s">
        <v>151</v>
      </c>
      <c r="D598" s="14" t="s">
        <v>770</v>
      </c>
      <c r="E598" s="14" t="s">
        <v>196</v>
      </c>
      <c r="F598" s="64">
        <f t="shared" si="22"/>
        <v>237.57751000000002</v>
      </c>
      <c r="G598" s="64"/>
      <c r="H598" s="64">
        <f>530.28251-5-287.705</f>
        <v>237.57751000000002</v>
      </c>
      <c r="I598" s="156"/>
    </row>
    <row r="599" spans="1:12" s="164" customFormat="1" ht="18.75" customHeight="1">
      <c r="A599" s="62" t="s">
        <v>216</v>
      </c>
      <c r="B599" s="20" t="s">
        <v>158</v>
      </c>
      <c r="C599" s="20" t="s">
        <v>141</v>
      </c>
      <c r="D599" s="20" t="s">
        <v>304</v>
      </c>
      <c r="E599" s="20" t="s">
        <v>391</v>
      </c>
      <c r="F599" s="115">
        <f aca="true" t="shared" si="23" ref="F599:F605">G599+H599</f>
        <v>963</v>
      </c>
      <c r="G599" s="115">
        <f>G600</f>
        <v>963</v>
      </c>
      <c r="H599" s="115">
        <f>H600</f>
        <v>0</v>
      </c>
      <c r="K599" s="167"/>
      <c r="L599" s="167"/>
    </row>
    <row r="600" spans="1:8" ht="15.75" customHeight="1">
      <c r="A600" s="27" t="s">
        <v>327</v>
      </c>
      <c r="B600" s="14" t="s">
        <v>158</v>
      </c>
      <c r="C600" s="14" t="s">
        <v>142</v>
      </c>
      <c r="D600" s="14" t="s">
        <v>304</v>
      </c>
      <c r="E600" s="14" t="s">
        <v>391</v>
      </c>
      <c r="F600" s="64">
        <f t="shared" si="23"/>
        <v>963</v>
      </c>
      <c r="G600" s="64">
        <f>G601</f>
        <v>963</v>
      </c>
      <c r="H600" s="64">
        <f>H601</f>
        <v>0</v>
      </c>
    </row>
    <row r="601" spans="1:8" ht="50.25" customHeight="1">
      <c r="A601" s="31" t="s">
        <v>458</v>
      </c>
      <c r="B601" s="28" t="s">
        <v>158</v>
      </c>
      <c r="C601" s="28" t="s">
        <v>142</v>
      </c>
      <c r="D601" s="28" t="s">
        <v>86</v>
      </c>
      <c r="E601" s="28" t="s">
        <v>391</v>
      </c>
      <c r="F601" s="65">
        <f t="shared" si="23"/>
        <v>963</v>
      </c>
      <c r="G601" s="65">
        <f>G602+G605+G623+G620+G630</f>
        <v>963</v>
      </c>
      <c r="H601" s="65">
        <f>H602+H605+H623+H630</f>
        <v>0</v>
      </c>
    </row>
    <row r="602" spans="1:8" ht="33" customHeight="1">
      <c r="A602" s="27" t="s">
        <v>217</v>
      </c>
      <c r="B602" s="14" t="s">
        <v>158</v>
      </c>
      <c r="C602" s="14" t="s">
        <v>142</v>
      </c>
      <c r="D602" s="14" t="s">
        <v>87</v>
      </c>
      <c r="E602" s="14" t="s">
        <v>391</v>
      </c>
      <c r="F602" s="64">
        <f t="shared" si="23"/>
        <v>742.86264</v>
      </c>
      <c r="G602" s="64">
        <f>G603</f>
        <v>742.86264</v>
      </c>
      <c r="H602" s="64">
        <f>H604</f>
        <v>0</v>
      </c>
    </row>
    <row r="603" spans="1:8" ht="32.25" customHeight="1">
      <c r="A603" s="27" t="s">
        <v>180</v>
      </c>
      <c r="B603" s="14" t="s">
        <v>158</v>
      </c>
      <c r="C603" s="14" t="s">
        <v>142</v>
      </c>
      <c r="D603" s="14" t="s">
        <v>87</v>
      </c>
      <c r="E603" s="14" t="s">
        <v>149</v>
      </c>
      <c r="F603" s="64">
        <f t="shared" si="23"/>
        <v>742.86264</v>
      </c>
      <c r="G603" s="64">
        <f>G604</f>
        <v>742.86264</v>
      </c>
      <c r="H603" s="64"/>
    </row>
    <row r="604" spans="1:8" ht="49.5" customHeight="1">
      <c r="A604" s="52" t="s">
        <v>181</v>
      </c>
      <c r="B604" s="14" t="s">
        <v>158</v>
      </c>
      <c r="C604" s="14" t="s">
        <v>142</v>
      </c>
      <c r="D604" s="14" t="s">
        <v>87</v>
      </c>
      <c r="E604" s="14" t="s">
        <v>182</v>
      </c>
      <c r="F604" s="64">
        <f t="shared" si="23"/>
        <v>742.86264</v>
      </c>
      <c r="G604" s="64">
        <f>150+156.8+130+145.22+26.98+133.86264</f>
        <v>742.86264</v>
      </c>
      <c r="H604" s="64"/>
    </row>
    <row r="605" spans="1:8" ht="49.5" customHeight="1" hidden="1">
      <c r="A605" s="63" t="s">
        <v>576</v>
      </c>
      <c r="B605" s="20" t="s">
        <v>158</v>
      </c>
      <c r="C605" s="20" t="s">
        <v>142</v>
      </c>
      <c r="D605" s="20" t="s">
        <v>86</v>
      </c>
      <c r="E605" s="20" t="s">
        <v>391</v>
      </c>
      <c r="F605" s="115">
        <f t="shared" si="23"/>
        <v>0</v>
      </c>
      <c r="G605" s="115">
        <f>G613</f>
        <v>0</v>
      </c>
      <c r="H605" s="115">
        <f>H606</f>
        <v>0</v>
      </c>
    </row>
    <row r="606" spans="1:8" ht="83.25" customHeight="1" hidden="1">
      <c r="A606" s="46" t="s">
        <v>587</v>
      </c>
      <c r="B606" s="28" t="s">
        <v>158</v>
      </c>
      <c r="C606" s="28" t="s">
        <v>142</v>
      </c>
      <c r="D606" s="28" t="s">
        <v>577</v>
      </c>
      <c r="E606" s="28" t="s">
        <v>391</v>
      </c>
      <c r="F606" s="65">
        <f aca="true" t="shared" si="24" ref="F606:F612">H606</f>
        <v>0</v>
      </c>
      <c r="G606" s="65"/>
      <c r="H606" s="65">
        <f>H609+H611</f>
        <v>0</v>
      </c>
    </row>
    <row r="607" spans="1:8" ht="39.75" customHeight="1" hidden="1">
      <c r="A607" s="27" t="s">
        <v>180</v>
      </c>
      <c r="B607" s="14" t="s">
        <v>158</v>
      </c>
      <c r="C607" s="14" t="s">
        <v>142</v>
      </c>
      <c r="D607" s="14" t="s">
        <v>577</v>
      </c>
      <c r="E607" s="14" t="s">
        <v>149</v>
      </c>
      <c r="F607" s="64">
        <f t="shared" si="24"/>
        <v>0</v>
      </c>
      <c r="G607" s="64"/>
      <c r="H607" s="64">
        <f>H608</f>
        <v>0</v>
      </c>
    </row>
    <row r="608" spans="1:8" ht="64.5" customHeight="1" hidden="1">
      <c r="A608" s="52" t="s">
        <v>588</v>
      </c>
      <c r="B608" s="14" t="s">
        <v>158</v>
      </c>
      <c r="C608" s="14" t="s">
        <v>142</v>
      </c>
      <c r="D608" s="14" t="s">
        <v>577</v>
      </c>
      <c r="E608" s="14" t="s">
        <v>182</v>
      </c>
      <c r="F608" s="64">
        <f t="shared" si="24"/>
        <v>0</v>
      </c>
      <c r="G608" s="64"/>
      <c r="H608" s="64">
        <v>0</v>
      </c>
    </row>
    <row r="609" spans="1:8" ht="47.25" customHeight="1" hidden="1">
      <c r="A609" s="52" t="s">
        <v>572</v>
      </c>
      <c r="B609" s="14" t="s">
        <v>158</v>
      </c>
      <c r="C609" s="14" t="s">
        <v>142</v>
      </c>
      <c r="D609" s="14" t="s">
        <v>577</v>
      </c>
      <c r="E609" s="14" t="s">
        <v>573</v>
      </c>
      <c r="F609" s="64">
        <f t="shared" si="24"/>
        <v>0</v>
      </c>
      <c r="G609" s="64"/>
      <c r="H609" s="64">
        <f>H610</f>
        <v>0</v>
      </c>
    </row>
    <row r="610" spans="1:8" ht="15" customHeight="1" hidden="1">
      <c r="A610" s="52" t="s">
        <v>574</v>
      </c>
      <c r="B610" s="14" t="s">
        <v>158</v>
      </c>
      <c r="C610" s="14" t="s">
        <v>142</v>
      </c>
      <c r="D610" s="14" t="s">
        <v>577</v>
      </c>
      <c r="E610" s="14" t="s">
        <v>575</v>
      </c>
      <c r="F610" s="64">
        <f t="shared" si="24"/>
        <v>0</v>
      </c>
      <c r="G610" s="64"/>
      <c r="H610" s="64">
        <v>0</v>
      </c>
    </row>
    <row r="611" spans="1:8" ht="30" customHeight="1" hidden="1">
      <c r="A611" s="27" t="s">
        <v>578</v>
      </c>
      <c r="B611" s="14" t="s">
        <v>158</v>
      </c>
      <c r="C611" s="14" t="s">
        <v>142</v>
      </c>
      <c r="D611" s="14" t="s">
        <v>577</v>
      </c>
      <c r="E611" s="14" t="s">
        <v>204</v>
      </c>
      <c r="F611" s="64">
        <f t="shared" si="24"/>
        <v>0</v>
      </c>
      <c r="G611" s="64"/>
      <c r="H611" s="64">
        <f>H612</f>
        <v>0</v>
      </c>
    </row>
    <row r="612" spans="1:8" ht="19.5" customHeight="1" hidden="1">
      <c r="A612" s="27" t="s">
        <v>168</v>
      </c>
      <c r="B612" s="14" t="s">
        <v>158</v>
      </c>
      <c r="C612" s="14" t="s">
        <v>142</v>
      </c>
      <c r="D612" s="14" t="s">
        <v>577</v>
      </c>
      <c r="E612" s="14" t="s">
        <v>271</v>
      </c>
      <c r="F612" s="64">
        <f t="shared" si="24"/>
        <v>0</v>
      </c>
      <c r="G612" s="64"/>
      <c r="H612" s="64">
        <v>0</v>
      </c>
    </row>
    <row r="613" spans="1:8" ht="97.5" customHeight="1" hidden="1">
      <c r="A613" s="46" t="s">
        <v>589</v>
      </c>
      <c r="B613" s="28" t="s">
        <v>158</v>
      </c>
      <c r="C613" s="28" t="s">
        <v>142</v>
      </c>
      <c r="D613" s="28" t="s">
        <v>579</v>
      </c>
      <c r="E613" s="28" t="s">
        <v>391</v>
      </c>
      <c r="F613" s="65">
        <f aca="true" t="shared" si="25" ref="F613:F619">G613</f>
        <v>0</v>
      </c>
      <c r="G613" s="65">
        <f>G616+G618</f>
        <v>0</v>
      </c>
      <c r="H613" s="65"/>
    </row>
    <row r="614" spans="1:8" ht="38.25" customHeight="1" hidden="1">
      <c r="A614" s="27" t="s">
        <v>180</v>
      </c>
      <c r="B614" s="14" t="s">
        <v>158</v>
      </c>
      <c r="C614" s="14" t="s">
        <v>142</v>
      </c>
      <c r="D614" s="14" t="s">
        <v>579</v>
      </c>
      <c r="E614" s="14" t="s">
        <v>149</v>
      </c>
      <c r="F614" s="64">
        <f t="shared" si="25"/>
        <v>0</v>
      </c>
      <c r="G614" s="64">
        <f>G615</f>
        <v>0</v>
      </c>
      <c r="H614" s="64"/>
    </row>
    <row r="615" spans="1:8" ht="48.75" customHeight="1" hidden="1">
      <c r="A615" s="52" t="s">
        <v>588</v>
      </c>
      <c r="B615" s="14" t="s">
        <v>158</v>
      </c>
      <c r="C615" s="14" t="s">
        <v>142</v>
      </c>
      <c r="D615" s="14" t="s">
        <v>579</v>
      </c>
      <c r="E615" s="14" t="s">
        <v>182</v>
      </c>
      <c r="F615" s="64">
        <f t="shared" si="25"/>
        <v>0</v>
      </c>
      <c r="G615" s="64">
        <v>0</v>
      </c>
      <c r="H615" s="64"/>
    </row>
    <row r="616" spans="1:8" ht="49.5" customHeight="1" hidden="1">
      <c r="A616" s="52" t="s">
        <v>572</v>
      </c>
      <c r="B616" s="14" t="s">
        <v>158</v>
      </c>
      <c r="C616" s="14" t="s">
        <v>142</v>
      </c>
      <c r="D616" s="14" t="s">
        <v>579</v>
      </c>
      <c r="E616" s="14" t="s">
        <v>573</v>
      </c>
      <c r="F616" s="64">
        <f t="shared" si="25"/>
        <v>0</v>
      </c>
      <c r="G616" s="64">
        <f>G617</f>
        <v>0</v>
      </c>
      <c r="H616" s="64"/>
    </row>
    <row r="617" spans="1:8" ht="18" customHeight="1" hidden="1">
      <c r="A617" s="52" t="s">
        <v>574</v>
      </c>
      <c r="B617" s="14" t="s">
        <v>158</v>
      </c>
      <c r="C617" s="14" t="s">
        <v>142</v>
      </c>
      <c r="D617" s="14" t="s">
        <v>579</v>
      </c>
      <c r="E617" s="14" t="s">
        <v>575</v>
      </c>
      <c r="F617" s="64">
        <f t="shared" si="25"/>
        <v>0</v>
      </c>
      <c r="G617" s="64">
        <f>86+40-40-86</f>
        <v>0</v>
      </c>
      <c r="H617" s="64"/>
    </row>
    <row r="618" spans="1:8" ht="45" customHeight="1" hidden="1">
      <c r="A618" s="27" t="s">
        <v>578</v>
      </c>
      <c r="B618" s="14" t="s">
        <v>158</v>
      </c>
      <c r="C618" s="14" t="s">
        <v>142</v>
      </c>
      <c r="D618" s="14" t="s">
        <v>577</v>
      </c>
      <c r="E618" s="14" t="s">
        <v>204</v>
      </c>
      <c r="F618" s="64">
        <f t="shared" si="25"/>
        <v>0</v>
      </c>
      <c r="G618" s="64">
        <f>G619</f>
        <v>0</v>
      </c>
      <c r="H618" s="64"/>
    </row>
    <row r="619" spans="1:8" ht="18" customHeight="1" hidden="1">
      <c r="A619" s="27" t="s">
        <v>168</v>
      </c>
      <c r="B619" s="14" t="s">
        <v>158</v>
      </c>
      <c r="C619" s="14" t="s">
        <v>142</v>
      </c>
      <c r="D619" s="14" t="s">
        <v>577</v>
      </c>
      <c r="E619" s="14" t="s">
        <v>271</v>
      </c>
      <c r="F619" s="64">
        <f t="shared" si="25"/>
        <v>0</v>
      </c>
      <c r="G619" s="64">
        <v>0</v>
      </c>
      <c r="H619" s="64"/>
    </row>
    <row r="620" spans="1:8" ht="48" customHeight="1">
      <c r="A620" s="31" t="s">
        <v>727</v>
      </c>
      <c r="B620" s="28" t="s">
        <v>158</v>
      </c>
      <c r="C620" s="28" t="s">
        <v>142</v>
      </c>
      <c r="D620" s="28" t="s">
        <v>723</v>
      </c>
      <c r="E620" s="28" t="s">
        <v>391</v>
      </c>
      <c r="F620" s="65">
        <f>G620+H620</f>
        <v>220.13736</v>
      </c>
      <c r="G620" s="65">
        <f>G621+G637</f>
        <v>220.13736</v>
      </c>
      <c r="H620" s="65"/>
    </row>
    <row r="621" spans="1:8" ht="34.5" customHeight="1">
      <c r="A621" s="27" t="s">
        <v>180</v>
      </c>
      <c r="B621" s="14" t="s">
        <v>158</v>
      </c>
      <c r="C621" s="14" t="s">
        <v>142</v>
      </c>
      <c r="D621" s="14" t="s">
        <v>723</v>
      </c>
      <c r="E621" s="14" t="s">
        <v>149</v>
      </c>
      <c r="F621" s="64">
        <f>G621+H621</f>
        <v>7</v>
      </c>
      <c r="G621" s="64">
        <f>G622</f>
        <v>7</v>
      </c>
      <c r="H621" s="64"/>
    </row>
    <row r="622" spans="1:8" ht="48.75" customHeight="1">
      <c r="A622" s="52" t="s">
        <v>181</v>
      </c>
      <c r="B622" s="14" t="s">
        <v>158</v>
      </c>
      <c r="C622" s="14" t="s">
        <v>142</v>
      </c>
      <c r="D622" s="14" t="s">
        <v>723</v>
      </c>
      <c r="E622" s="14" t="s">
        <v>182</v>
      </c>
      <c r="F622" s="64">
        <f>G622+H622</f>
        <v>7</v>
      </c>
      <c r="G622" s="64">
        <v>7</v>
      </c>
      <c r="H622" s="64"/>
    </row>
    <row r="623" spans="1:8" ht="48" customHeight="1" hidden="1">
      <c r="A623" s="62" t="s">
        <v>688</v>
      </c>
      <c r="B623" s="14" t="s">
        <v>158</v>
      </c>
      <c r="C623" s="14" t="s">
        <v>142</v>
      </c>
      <c r="D623" s="14" t="s">
        <v>883</v>
      </c>
      <c r="E623" s="20" t="s">
        <v>391</v>
      </c>
      <c r="F623" s="115">
        <f aca="true" t="shared" si="26" ref="F623:F629">G623+H623</f>
        <v>0</v>
      </c>
      <c r="G623" s="115">
        <f>G624+G627</f>
        <v>0</v>
      </c>
      <c r="H623" s="115">
        <f>H624+H627</f>
        <v>0</v>
      </c>
    </row>
    <row r="624" spans="1:8" ht="64.5" customHeight="1" hidden="1">
      <c r="A624" s="46" t="s">
        <v>696</v>
      </c>
      <c r="B624" s="14" t="s">
        <v>158</v>
      </c>
      <c r="C624" s="14" t="s">
        <v>142</v>
      </c>
      <c r="D624" s="14" t="s">
        <v>884</v>
      </c>
      <c r="E624" s="14" t="s">
        <v>391</v>
      </c>
      <c r="F624" s="64">
        <f t="shared" si="26"/>
        <v>0</v>
      </c>
      <c r="G624" s="64"/>
      <c r="H624" s="64">
        <f>H625</f>
        <v>0</v>
      </c>
    </row>
    <row r="625" spans="1:8" ht="45" customHeight="1" hidden="1">
      <c r="A625" s="27" t="s">
        <v>578</v>
      </c>
      <c r="B625" s="14" t="s">
        <v>158</v>
      </c>
      <c r="C625" s="14" t="s">
        <v>142</v>
      </c>
      <c r="D625" s="14" t="s">
        <v>885</v>
      </c>
      <c r="E625" s="14" t="s">
        <v>204</v>
      </c>
      <c r="F625" s="64">
        <f t="shared" si="26"/>
        <v>0</v>
      </c>
      <c r="G625" s="64"/>
      <c r="H625" s="64">
        <f>H626</f>
        <v>0</v>
      </c>
    </row>
    <row r="626" spans="1:8" ht="18.75" customHeight="1" hidden="1">
      <c r="A626" s="27" t="s">
        <v>168</v>
      </c>
      <c r="B626" s="14" t="s">
        <v>158</v>
      </c>
      <c r="C626" s="14" t="s">
        <v>142</v>
      </c>
      <c r="D626" s="14" t="s">
        <v>886</v>
      </c>
      <c r="E626" s="14" t="s">
        <v>271</v>
      </c>
      <c r="F626" s="64">
        <f t="shared" si="26"/>
        <v>0</v>
      </c>
      <c r="G626" s="64"/>
      <c r="H626" s="64">
        <v>0</v>
      </c>
    </row>
    <row r="627" spans="1:8" ht="81" customHeight="1" hidden="1">
      <c r="A627" s="46" t="s">
        <v>697</v>
      </c>
      <c r="B627" s="14" t="s">
        <v>158</v>
      </c>
      <c r="C627" s="14" t="s">
        <v>142</v>
      </c>
      <c r="D627" s="14" t="s">
        <v>887</v>
      </c>
      <c r="E627" s="14" t="s">
        <v>391</v>
      </c>
      <c r="F627" s="64">
        <f t="shared" si="26"/>
        <v>0</v>
      </c>
      <c r="G627" s="64">
        <f>G628</f>
        <v>0</v>
      </c>
      <c r="H627" s="64"/>
    </row>
    <row r="628" spans="1:8" ht="42.75" customHeight="1" hidden="1">
      <c r="A628" s="27" t="s">
        <v>578</v>
      </c>
      <c r="B628" s="14" t="s">
        <v>158</v>
      </c>
      <c r="C628" s="14" t="s">
        <v>142</v>
      </c>
      <c r="D628" s="14" t="s">
        <v>888</v>
      </c>
      <c r="E628" s="14" t="s">
        <v>204</v>
      </c>
      <c r="F628" s="64">
        <f t="shared" si="26"/>
        <v>0</v>
      </c>
      <c r="G628" s="64">
        <f>G629</f>
        <v>0</v>
      </c>
      <c r="H628" s="64"/>
    </row>
    <row r="629" spans="1:8" ht="18.75" customHeight="1" hidden="1">
      <c r="A629" s="27" t="s">
        <v>168</v>
      </c>
      <c r="B629" s="14" t="s">
        <v>158</v>
      </c>
      <c r="C629" s="14" t="s">
        <v>142</v>
      </c>
      <c r="D629" s="14" t="s">
        <v>889</v>
      </c>
      <c r="E629" s="14" t="s">
        <v>271</v>
      </c>
      <c r="F629" s="64">
        <f t="shared" si="26"/>
        <v>0</v>
      </c>
      <c r="G629" s="64">
        <v>0</v>
      </c>
      <c r="H629" s="64"/>
    </row>
    <row r="630" spans="1:8" ht="64.5" customHeight="1" hidden="1">
      <c r="A630" s="62" t="s">
        <v>728</v>
      </c>
      <c r="B630" s="14" t="s">
        <v>158</v>
      </c>
      <c r="C630" s="14" t="s">
        <v>142</v>
      </c>
      <c r="D630" s="14" t="s">
        <v>890</v>
      </c>
      <c r="E630" s="20" t="s">
        <v>391</v>
      </c>
      <c r="F630" s="115">
        <f>G630+H630</f>
        <v>0</v>
      </c>
      <c r="G630" s="115">
        <f>G634</f>
        <v>0</v>
      </c>
      <c r="H630" s="115">
        <f>H631</f>
        <v>0</v>
      </c>
    </row>
    <row r="631" spans="1:8" ht="96.75" customHeight="1" hidden="1">
      <c r="A631" s="46" t="s">
        <v>730</v>
      </c>
      <c r="B631" s="14" t="s">
        <v>158</v>
      </c>
      <c r="C631" s="14" t="s">
        <v>142</v>
      </c>
      <c r="D631" s="14" t="s">
        <v>891</v>
      </c>
      <c r="E631" s="28" t="s">
        <v>391</v>
      </c>
      <c r="F631" s="65">
        <f aca="true" t="shared" si="27" ref="F631:F638">G631+H631</f>
        <v>0</v>
      </c>
      <c r="G631" s="65"/>
      <c r="H631" s="65">
        <f>H632</f>
        <v>0</v>
      </c>
    </row>
    <row r="632" spans="1:8" ht="36" customHeight="1" hidden="1">
      <c r="A632" s="27" t="s">
        <v>180</v>
      </c>
      <c r="B632" s="14" t="s">
        <v>158</v>
      </c>
      <c r="C632" s="14" t="s">
        <v>142</v>
      </c>
      <c r="D632" s="14" t="s">
        <v>892</v>
      </c>
      <c r="E632" s="14" t="s">
        <v>149</v>
      </c>
      <c r="F632" s="64">
        <f t="shared" si="27"/>
        <v>0</v>
      </c>
      <c r="G632" s="64"/>
      <c r="H632" s="64">
        <f>H633</f>
        <v>0</v>
      </c>
    </row>
    <row r="633" spans="1:8" ht="48" customHeight="1" hidden="1">
      <c r="A633" s="52" t="s">
        <v>181</v>
      </c>
      <c r="B633" s="14" t="s">
        <v>158</v>
      </c>
      <c r="C633" s="14" t="s">
        <v>142</v>
      </c>
      <c r="D633" s="14" t="s">
        <v>893</v>
      </c>
      <c r="E633" s="14" t="s">
        <v>182</v>
      </c>
      <c r="F633" s="64">
        <f t="shared" si="27"/>
        <v>0</v>
      </c>
      <c r="G633" s="64"/>
      <c r="H633" s="64">
        <v>0</v>
      </c>
    </row>
    <row r="634" spans="1:8" ht="114.75" customHeight="1" hidden="1">
      <c r="A634" s="31" t="s">
        <v>731</v>
      </c>
      <c r="B634" s="14" t="s">
        <v>158</v>
      </c>
      <c r="C634" s="14" t="s">
        <v>142</v>
      </c>
      <c r="D634" s="14" t="s">
        <v>894</v>
      </c>
      <c r="E634" s="28" t="s">
        <v>391</v>
      </c>
      <c r="F634" s="65">
        <f t="shared" si="27"/>
        <v>0</v>
      </c>
      <c r="G634" s="65">
        <f>G635</f>
        <v>0</v>
      </c>
      <c r="H634" s="65"/>
    </row>
    <row r="635" spans="1:8" ht="36" customHeight="1" hidden="1">
      <c r="A635" s="27" t="s">
        <v>180</v>
      </c>
      <c r="B635" s="14" t="s">
        <v>158</v>
      </c>
      <c r="C635" s="14" t="s">
        <v>142</v>
      </c>
      <c r="D635" s="14" t="s">
        <v>895</v>
      </c>
      <c r="E635" s="14" t="s">
        <v>149</v>
      </c>
      <c r="F635" s="64">
        <f t="shared" si="27"/>
        <v>0</v>
      </c>
      <c r="G635" s="64">
        <f>G636</f>
        <v>0</v>
      </c>
      <c r="H635" s="64"/>
    </row>
    <row r="636" spans="1:8" ht="47.25" customHeight="1" hidden="1">
      <c r="A636" s="52" t="s">
        <v>181</v>
      </c>
      <c r="B636" s="14" t="s">
        <v>158</v>
      </c>
      <c r="C636" s="14" t="s">
        <v>142</v>
      </c>
      <c r="D636" s="14" t="s">
        <v>896</v>
      </c>
      <c r="E636" s="14" t="s">
        <v>182</v>
      </c>
      <c r="F636" s="64">
        <f t="shared" si="27"/>
        <v>0</v>
      </c>
      <c r="G636" s="64">
        <v>0</v>
      </c>
      <c r="H636" s="64"/>
    </row>
    <row r="637" spans="1:8" ht="47.25" customHeight="1">
      <c r="A637" s="52" t="s">
        <v>572</v>
      </c>
      <c r="B637" s="14" t="s">
        <v>158</v>
      </c>
      <c r="C637" s="14" t="s">
        <v>142</v>
      </c>
      <c r="D637" s="14" t="s">
        <v>723</v>
      </c>
      <c r="E637" s="14" t="s">
        <v>573</v>
      </c>
      <c r="F637" s="64">
        <f t="shared" si="27"/>
        <v>213.13736</v>
      </c>
      <c r="G637" s="64">
        <f>G638</f>
        <v>213.13736</v>
      </c>
      <c r="H637" s="64"/>
    </row>
    <row r="638" spans="1:8" ht="16.5" customHeight="1">
      <c r="A638" s="52" t="s">
        <v>574</v>
      </c>
      <c r="B638" s="14" t="s">
        <v>158</v>
      </c>
      <c r="C638" s="14" t="s">
        <v>142</v>
      </c>
      <c r="D638" s="14" t="s">
        <v>723</v>
      </c>
      <c r="E638" s="14" t="s">
        <v>575</v>
      </c>
      <c r="F638" s="64">
        <f t="shared" si="27"/>
        <v>213.13736</v>
      </c>
      <c r="G638" s="64">
        <v>213.13736</v>
      </c>
      <c r="H638" s="64"/>
    </row>
    <row r="639" spans="1:8" s="164" customFormat="1" ht="49.5" customHeight="1">
      <c r="A639" s="62" t="s">
        <v>218</v>
      </c>
      <c r="B639" s="20" t="s">
        <v>160</v>
      </c>
      <c r="C639" s="20" t="s">
        <v>141</v>
      </c>
      <c r="D639" s="20" t="s">
        <v>304</v>
      </c>
      <c r="E639" s="20" t="s">
        <v>391</v>
      </c>
      <c r="F639" s="115">
        <f aca="true" t="shared" si="28" ref="F639:F654">G639+H639</f>
        <v>250.44800000000004</v>
      </c>
      <c r="G639" s="115">
        <f>G640</f>
        <v>250.44800000000004</v>
      </c>
      <c r="H639" s="115">
        <f>H640</f>
        <v>0</v>
      </c>
    </row>
    <row r="640" spans="1:8" ht="33.75" customHeight="1">
      <c r="A640" s="27" t="s">
        <v>397</v>
      </c>
      <c r="B640" s="14" t="s">
        <v>160</v>
      </c>
      <c r="C640" s="14" t="s">
        <v>140</v>
      </c>
      <c r="D640" s="14" t="s">
        <v>304</v>
      </c>
      <c r="E640" s="14" t="s">
        <v>391</v>
      </c>
      <c r="F640" s="64">
        <f t="shared" si="28"/>
        <v>250.44800000000004</v>
      </c>
      <c r="G640" s="64">
        <f>G641</f>
        <v>250.44800000000004</v>
      </c>
      <c r="H640" s="64">
        <f>H642</f>
        <v>0</v>
      </c>
    </row>
    <row r="641" spans="1:8" ht="78" customHeight="1">
      <c r="A641" s="31" t="s">
        <v>524</v>
      </c>
      <c r="B641" s="28" t="s">
        <v>160</v>
      </c>
      <c r="C641" s="28" t="s">
        <v>140</v>
      </c>
      <c r="D641" s="28" t="s">
        <v>507</v>
      </c>
      <c r="E641" s="28" t="s">
        <v>391</v>
      </c>
      <c r="F641" s="65">
        <f t="shared" si="28"/>
        <v>250.44800000000004</v>
      </c>
      <c r="G641" s="65">
        <f>G642</f>
        <v>250.44800000000004</v>
      </c>
      <c r="H641" s="65">
        <v>0</v>
      </c>
    </row>
    <row r="642" spans="1:8" ht="33" customHeight="1">
      <c r="A642" s="27" t="s">
        <v>338</v>
      </c>
      <c r="B642" s="14" t="s">
        <v>160</v>
      </c>
      <c r="C642" s="14" t="s">
        <v>140</v>
      </c>
      <c r="D642" s="14" t="s">
        <v>502</v>
      </c>
      <c r="E642" s="14" t="s">
        <v>391</v>
      </c>
      <c r="F642" s="64">
        <f t="shared" si="28"/>
        <v>250.44800000000004</v>
      </c>
      <c r="G642" s="64">
        <f>G643</f>
        <v>250.44800000000004</v>
      </c>
      <c r="H642" s="64">
        <f>H643</f>
        <v>0</v>
      </c>
    </row>
    <row r="643" spans="1:8" ht="33" customHeight="1">
      <c r="A643" s="27" t="s">
        <v>511</v>
      </c>
      <c r="B643" s="14" t="s">
        <v>160</v>
      </c>
      <c r="C643" s="14" t="s">
        <v>140</v>
      </c>
      <c r="D643" s="14" t="s">
        <v>502</v>
      </c>
      <c r="E643" s="14" t="s">
        <v>391</v>
      </c>
      <c r="F643" s="64">
        <f t="shared" si="28"/>
        <v>250.44800000000004</v>
      </c>
      <c r="G643" s="64">
        <f>G644</f>
        <v>250.44800000000004</v>
      </c>
      <c r="H643" s="64">
        <f>H645</f>
        <v>0</v>
      </c>
    </row>
    <row r="644" spans="1:8" ht="33" customHeight="1">
      <c r="A644" s="27" t="s">
        <v>199</v>
      </c>
      <c r="B644" s="14" t="s">
        <v>160</v>
      </c>
      <c r="C644" s="14" t="s">
        <v>140</v>
      </c>
      <c r="D644" s="14" t="s">
        <v>502</v>
      </c>
      <c r="E644" s="14" t="s">
        <v>200</v>
      </c>
      <c r="F644" s="64">
        <f t="shared" si="28"/>
        <v>250.44800000000004</v>
      </c>
      <c r="G644" s="64">
        <f>G645</f>
        <v>250.44800000000004</v>
      </c>
      <c r="H644" s="64"/>
    </row>
    <row r="645" spans="1:8" ht="17.25" customHeight="1">
      <c r="A645" s="27" t="s">
        <v>220</v>
      </c>
      <c r="B645" s="14" t="s">
        <v>160</v>
      </c>
      <c r="C645" s="14" t="s">
        <v>140</v>
      </c>
      <c r="D645" s="14" t="s">
        <v>502</v>
      </c>
      <c r="E645" s="14" t="s">
        <v>315</v>
      </c>
      <c r="F645" s="64">
        <f t="shared" si="28"/>
        <v>250.44800000000004</v>
      </c>
      <c r="G645" s="64">
        <f>1090-288.27-490.282-61</f>
        <v>250.44800000000004</v>
      </c>
      <c r="H645" s="64"/>
    </row>
    <row r="646" spans="1:8" s="164" customFormat="1" ht="78.75" customHeight="1">
      <c r="A646" s="62" t="s">
        <v>221</v>
      </c>
      <c r="B646" s="20" t="s">
        <v>222</v>
      </c>
      <c r="C646" s="20" t="s">
        <v>141</v>
      </c>
      <c r="D646" s="20" t="s">
        <v>304</v>
      </c>
      <c r="E646" s="20" t="s">
        <v>391</v>
      </c>
      <c r="F646" s="115">
        <f t="shared" si="28"/>
        <v>22694.250999999997</v>
      </c>
      <c r="G646" s="115">
        <f>G647</f>
        <v>11403.175</v>
      </c>
      <c r="H646" s="115">
        <f>H647</f>
        <v>11291.076</v>
      </c>
    </row>
    <row r="647" spans="1:9" s="164" customFormat="1" ht="79.5" customHeight="1">
      <c r="A647" s="31" t="s">
        <v>524</v>
      </c>
      <c r="B647" s="59" t="s">
        <v>222</v>
      </c>
      <c r="C647" s="59" t="s">
        <v>141</v>
      </c>
      <c r="D647" s="59" t="s">
        <v>507</v>
      </c>
      <c r="E647" s="59" t="s">
        <v>391</v>
      </c>
      <c r="F647" s="112">
        <f t="shared" si="28"/>
        <v>22694.250999999997</v>
      </c>
      <c r="G647" s="112">
        <f>G648+G657</f>
        <v>11403.175</v>
      </c>
      <c r="H647" s="112">
        <f>H649+H658</f>
        <v>11291.076</v>
      </c>
      <c r="I647" s="185"/>
    </row>
    <row r="648" spans="1:8" ht="48.75" customHeight="1">
      <c r="A648" s="27" t="s">
        <v>223</v>
      </c>
      <c r="B648" s="14" t="s">
        <v>222</v>
      </c>
      <c r="C648" s="14" t="s">
        <v>140</v>
      </c>
      <c r="D648" s="14" t="s">
        <v>507</v>
      </c>
      <c r="E648" s="14" t="s">
        <v>391</v>
      </c>
      <c r="F648" s="64">
        <f t="shared" si="28"/>
        <v>19879.051</v>
      </c>
      <c r="G648" s="64">
        <f>G653</f>
        <v>8587.974999999999</v>
      </c>
      <c r="H648" s="64">
        <f>H649</f>
        <v>11291.076</v>
      </c>
    </row>
    <row r="649" spans="1:9" ht="50.25" customHeight="1">
      <c r="A649" s="31" t="s">
        <v>224</v>
      </c>
      <c r="B649" s="28" t="s">
        <v>222</v>
      </c>
      <c r="C649" s="28" t="s">
        <v>140</v>
      </c>
      <c r="D649" s="28" t="s">
        <v>499</v>
      </c>
      <c r="E649" s="28" t="s">
        <v>391</v>
      </c>
      <c r="F649" s="65">
        <f t="shared" si="28"/>
        <v>11291.076</v>
      </c>
      <c r="G649" s="65">
        <f>G650</f>
        <v>0</v>
      </c>
      <c r="H649" s="65">
        <f>H650</f>
        <v>11291.076</v>
      </c>
      <c r="I649" s="153"/>
    </row>
    <row r="650" spans="1:8" ht="18.75" customHeight="1">
      <c r="A650" s="27" t="s">
        <v>191</v>
      </c>
      <c r="B650" s="14" t="s">
        <v>222</v>
      </c>
      <c r="C650" s="14" t="s">
        <v>140</v>
      </c>
      <c r="D650" s="14" t="s">
        <v>499</v>
      </c>
      <c r="E650" s="14" t="s">
        <v>391</v>
      </c>
      <c r="F650" s="64">
        <f t="shared" si="28"/>
        <v>11291.076</v>
      </c>
      <c r="G650" s="64">
        <f>G651</f>
        <v>0</v>
      </c>
      <c r="H650" s="64">
        <f>H651+H653</f>
        <v>11291.076</v>
      </c>
    </row>
    <row r="651" spans="1:8" ht="96" customHeight="1">
      <c r="A651" s="27" t="s">
        <v>318</v>
      </c>
      <c r="B651" s="14" t="s">
        <v>222</v>
      </c>
      <c r="C651" s="14" t="s">
        <v>140</v>
      </c>
      <c r="D651" s="14" t="s">
        <v>499</v>
      </c>
      <c r="E651" s="14" t="s">
        <v>391</v>
      </c>
      <c r="F651" s="64">
        <f t="shared" si="28"/>
        <v>11291.076</v>
      </c>
      <c r="G651" s="64">
        <f>G652</f>
        <v>0</v>
      </c>
      <c r="H651" s="64">
        <f>H652</f>
        <v>11291.076</v>
      </c>
    </row>
    <row r="652" spans="1:8" ht="18" customHeight="1">
      <c r="A652" s="27" t="s">
        <v>201</v>
      </c>
      <c r="B652" s="14" t="s">
        <v>222</v>
      </c>
      <c r="C652" s="14" t="s">
        <v>140</v>
      </c>
      <c r="D652" s="14" t="s">
        <v>499</v>
      </c>
      <c r="E652" s="14" t="s">
        <v>202</v>
      </c>
      <c r="F652" s="64">
        <f t="shared" si="28"/>
        <v>11291.076</v>
      </c>
      <c r="G652" s="64">
        <v>0</v>
      </c>
      <c r="H652" s="64">
        <v>11291.076</v>
      </c>
    </row>
    <row r="653" spans="1:8" ht="51" customHeight="1">
      <c r="A653" s="31" t="s">
        <v>297</v>
      </c>
      <c r="B653" s="28" t="s">
        <v>222</v>
      </c>
      <c r="C653" s="28" t="s">
        <v>140</v>
      </c>
      <c r="D653" s="28" t="s">
        <v>500</v>
      </c>
      <c r="E653" s="28" t="s">
        <v>391</v>
      </c>
      <c r="F653" s="65">
        <f t="shared" si="28"/>
        <v>8587.974999999999</v>
      </c>
      <c r="G653" s="65">
        <f>G654</f>
        <v>8587.974999999999</v>
      </c>
      <c r="H653" s="65">
        <f>H654</f>
        <v>0</v>
      </c>
    </row>
    <row r="654" spans="1:8" ht="16.5" customHeight="1">
      <c r="A654" s="27" t="s">
        <v>201</v>
      </c>
      <c r="B654" s="14" t="s">
        <v>222</v>
      </c>
      <c r="C654" s="14" t="s">
        <v>140</v>
      </c>
      <c r="D654" s="14" t="s">
        <v>500</v>
      </c>
      <c r="E654" s="14" t="s">
        <v>202</v>
      </c>
      <c r="F654" s="64">
        <f t="shared" si="28"/>
        <v>8587.974999999999</v>
      </c>
      <c r="G654" s="64">
        <f>8375.417+212.558</f>
        <v>8587.974999999999</v>
      </c>
      <c r="H654" s="64"/>
    </row>
    <row r="655" spans="1:8" ht="48" customHeight="1" hidden="1">
      <c r="A655" s="27" t="s">
        <v>297</v>
      </c>
      <c r="B655" s="14" t="s">
        <v>222</v>
      </c>
      <c r="C655" s="14" t="s">
        <v>140</v>
      </c>
      <c r="D655" s="14" t="s">
        <v>16</v>
      </c>
      <c r="E655" s="14" t="s">
        <v>391</v>
      </c>
      <c r="F655" s="64">
        <f>G655</f>
        <v>0</v>
      </c>
      <c r="G655" s="64">
        <f>G656</f>
        <v>0</v>
      </c>
      <c r="H655" s="64">
        <f>H656</f>
        <v>0</v>
      </c>
    </row>
    <row r="656" spans="1:8" ht="17.25" customHeight="1" hidden="1">
      <c r="A656" s="27" t="s">
        <v>189</v>
      </c>
      <c r="B656" s="14" t="s">
        <v>222</v>
      </c>
      <c r="C656" s="14" t="s">
        <v>140</v>
      </c>
      <c r="D656" s="14" t="s">
        <v>16</v>
      </c>
      <c r="E656" s="14" t="s">
        <v>202</v>
      </c>
      <c r="F656" s="64">
        <f>G656</f>
        <v>0</v>
      </c>
      <c r="G656" s="64"/>
      <c r="H656" s="64"/>
    </row>
    <row r="657" spans="1:8" ht="33" customHeight="1">
      <c r="A657" s="31" t="s">
        <v>328</v>
      </c>
      <c r="B657" s="28" t="s">
        <v>222</v>
      </c>
      <c r="C657" s="28" t="s">
        <v>147</v>
      </c>
      <c r="D657" s="28" t="s">
        <v>507</v>
      </c>
      <c r="E657" s="28" t="s">
        <v>391</v>
      </c>
      <c r="F657" s="65">
        <f>G657+H657</f>
        <v>2815.2</v>
      </c>
      <c r="G657" s="65">
        <f>G658</f>
        <v>2815.2</v>
      </c>
      <c r="H657" s="65">
        <f>H658</f>
        <v>0</v>
      </c>
    </row>
    <row r="658" spans="1:8" ht="33" customHeight="1">
      <c r="A658" s="27" t="s">
        <v>436</v>
      </c>
      <c r="B658" s="14" t="s">
        <v>222</v>
      </c>
      <c r="C658" s="14" t="s">
        <v>147</v>
      </c>
      <c r="D658" s="14" t="s">
        <v>507</v>
      </c>
      <c r="E658" s="14" t="s">
        <v>391</v>
      </c>
      <c r="F658" s="64">
        <f>G658+H658</f>
        <v>2815.2</v>
      </c>
      <c r="G658" s="64">
        <f>G659</f>
        <v>2815.2</v>
      </c>
      <c r="H658" s="64">
        <f>H660</f>
        <v>0</v>
      </c>
    </row>
    <row r="659" spans="1:8" ht="18.75" customHeight="1">
      <c r="A659" s="27" t="s">
        <v>191</v>
      </c>
      <c r="B659" s="14" t="s">
        <v>222</v>
      </c>
      <c r="C659" s="14" t="s">
        <v>147</v>
      </c>
      <c r="D659" s="14" t="s">
        <v>507</v>
      </c>
      <c r="E659" s="14" t="s">
        <v>192</v>
      </c>
      <c r="F659" s="64">
        <f>G659+H659</f>
        <v>2815.2</v>
      </c>
      <c r="G659" s="64">
        <f>G660+G664+G663</f>
        <v>2815.2</v>
      </c>
      <c r="H659" s="64"/>
    </row>
    <row r="660" spans="1:8" ht="17.25" customHeight="1">
      <c r="A660" s="27" t="s">
        <v>286</v>
      </c>
      <c r="B660" s="14" t="s">
        <v>222</v>
      </c>
      <c r="C660" s="14" t="s">
        <v>147</v>
      </c>
      <c r="D660" s="14" t="s">
        <v>501</v>
      </c>
      <c r="E660" s="14" t="s">
        <v>435</v>
      </c>
      <c r="F660" s="64">
        <f>G660+H660</f>
        <v>1420</v>
      </c>
      <c r="G660" s="64">
        <f>450+170+100+419+281</f>
        <v>1420</v>
      </c>
      <c r="H660" s="64"/>
    </row>
    <row r="661" spans="1:8" ht="32.25" customHeight="1" hidden="1">
      <c r="A661" s="27" t="s">
        <v>328</v>
      </c>
      <c r="B661" s="14" t="s">
        <v>222</v>
      </c>
      <c r="C661" s="14" t="s">
        <v>147</v>
      </c>
      <c r="D661" s="14" t="s">
        <v>501</v>
      </c>
      <c r="E661" s="14" t="s">
        <v>435</v>
      </c>
      <c r="F661" s="64">
        <f>G661</f>
        <v>1395.2</v>
      </c>
      <c r="G661" s="64">
        <f>G662</f>
        <v>1395.2</v>
      </c>
      <c r="H661" s="64"/>
    </row>
    <row r="662" spans="1:8" ht="24.75" customHeight="1" hidden="1">
      <c r="A662" s="27" t="s">
        <v>191</v>
      </c>
      <c r="B662" s="14" t="s">
        <v>222</v>
      </c>
      <c r="C662" s="14" t="s">
        <v>147</v>
      </c>
      <c r="D662" s="14" t="s">
        <v>501</v>
      </c>
      <c r="E662" s="14" t="s">
        <v>435</v>
      </c>
      <c r="F662" s="64">
        <f>G662</f>
        <v>1395.2</v>
      </c>
      <c r="G662" s="64">
        <f>G663</f>
        <v>1395.2</v>
      </c>
      <c r="H662" s="64"/>
    </row>
    <row r="663" spans="1:8" ht="132.75" customHeight="1">
      <c r="A663" s="27" t="s">
        <v>934</v>
      </c>
      <c r="B663" s="14" t="s">
        <v>222</v>
      </c>
      <c r="C663" s="14" t="s">
        <v>147</v>
      </c>
      <c r="D663" s="14" t="s">
        <v>931</v>
      </c>
      <c r="E663" s="14" t="s">
        <v>435</v>
      </c>
      <c r="F663" s="64">
        <f>G663</f>
        <v>1395.2</v>
      </c>
      <c r="G663" s="64">
        <v>1395.2</v>
      </c>
      <c r="H663" s="64"/>
    </row>
    <row r="664" spans="1:8" ht="6" customHeight="1" hidden="1">
      <c r="A664" s="27" t="s">
        <v>661</v>
      </c>
      <c r="B664" s="14" t="s">
        <v>222</v>
      </c>
      <c r="C664" s="14" t="s">
        <v>147</v>
      </c>
      <c r="D664" s="14" t="s">
        <v>701</v>
      </c>
      <c r="E664" s="14" t="s">
        <v>435</v>
      </c>
      <c r="F664" s="64">
        <f>G664</f>
        <v>0</v>
      </c>
      <c r="G664" s="64">
        <v>0</v>
      </c>
      <c r="H664" s="64"/>
    </row>
    <row r="665" spans="1:9" ht="18" customHeight="1">
      <c r="A665" s="62" t="s">
        <v>228</v>
      </c>
      <c r="B665" s="4"/>
      <c r="C665" s="4"/>
      <c r="D665" s="4"/>
      <c r="E665" s="4"/>
      <c r="F665" s="115">
        <f>H665+G665</f>
        <v>643957.2857299999</v>
      </c>
      <c r="G665" s="115">
        <f>G13+G183+G189+G205+G213+G260+G307+G488+G599+G639+G646+G548</f>
        <v>332955.0047199999</v>
      </c>
      <c r="H665" s="115">
        <f>H13+H183+H189+H205+H213+H260+H307+H488+H599+H639+H646+H548</f>
        <v>311002.2810099999</v>
      </c>
      <c r="I665" s="153"/>
    </row>
    <row r="666" spans="1:8" ht="15">
      <c r="A666" s="9"/>
      <c r="B666" s="9"/>
      <c r="C666" s="157"/>
      <c r="D666" s="158"/>
      <c r="E666" s="157"/>
      <c r="F666" s="149"/>
      <c r="G666" s="149"/>
      <c r="H666" s="149"/>
    </row>
    <row r="667" spans="4:8" ht="15">
      <c r="D667" s="211"/>
      <c r="E667" s="202"/>
      <c r="F667" s="66"/>
      <c r="G667" s="66"/>
      <c r="H667" s="66"/>
    </row>
    <row r="668" spans="4:8" ht="15">
      <c r="D668" s="213"/>
      <c r="E668" s="173"/>
      <c r="F668" s="66"/>
      <c r="G668" s="66"/>
      <c r="H668" s="66"/>
    </row>
    <row r="669" spans="4:11" ht="15">
      <c r="D669" s="291"/>
      <c r="F669" s="66"/>
      <c r="G669" s="66"/>
      <c r="H669" s="66"/>
      <c r="J669" s="153"/>
      <c r="K669" s="149"/>
    </row>
    <row r="670" spans="4:8" ht="15.75">
      <c r="D670" s="292"/>
      <c r="E670" s="292"/>
      <c r="F670" s="214"/>
      <c r="G670" s="214"/>
      <c r="H670" s="214"/>
    </row>
    <row r="671" spans="6:8" ht="15">
      <c r="F671" s="153"/>
      <c r="G671" s="153"/>
      <c r="H671" s="153"/>
    </row>
  </sheetData>
  <sheetProtection/>
  <mergeCells count="14">
    <mergeCell ref="F1:H1"/>
    <mergeCell ref="F2:H2"/>
    <mergeCell ref="F3:H3"/>
    <mergeCell ref="F4:H4"/>
    <mergeCell ref="A6:H6"/>
    <mergeCell ref="A7:H7"/>
    <mergeCell ref="A8:H8"/>
    <mergeCell ref="A10:A11"/>
    <mergeCell ref="B10:B11"/>
    <mergeCell ref="C10:C11"/>
    <mergeCell ref="D10:D11"/>
    <mergeCell ref="E10:E11"/>
    <mergeCell ref="F10:F11"/>
    <mergeCell ref="G10:H10"/>
  </mergeCells>
  <printOptions/>
  <pageMargins left="0.2362204724409449" right="0.2362204724409449" top="0.7480314960629921" bottom="0.7480314960629921" header="0.31496062992125984" footer="0.31496062992125984"/>
  <pageSetup fitToHeight="0" horizontalDpi="600" verticalDpi="600" orientation="portrait" paperSize="9" scale="50" r:id="rId1"/>
  <rowBreaks count="5" manualBreakCount="5">
    <brk id="340" max="7" man="1"/>
    <brk id="398" max="7" man="1"/>
    <brk id="442" max="7" man="1"/>
    <brk id="508" max="7" man="1"/>
    <brk id="550" max="7" man="1"/>
  </rowBreaks>
</worksheet>
</file>

<file path=xl/worksheets/sheet4.xml><?xml version="1.0" encoding="utf-8"?>
<worksheet xmlns="http://schemas.openxmlformats.org/spreadsheetml/2006/main" xmlns:r="http://schemas.openxmlformats.org/officeDocument/2006/relationships">
  <sheetPr>
    <tabColor rgb="FFFF0000"/>
  </sheetPr>
  <dimension ref="A1:L703"/>
  <sheetViews>
    <sheetView view="pageBreakPreview" zoomScale="90" zoomScaleSheetLayoutView="90" zoomScalePageLayoutView="0" workbookViewId="0" topLeftCell="A1">
      <selection activeCell="A670" sqref="A1:IV16384"/>
    </sheetView>
  </sheetViews>
  <sheetFormatPr defaultColWidth="8.625" defaultRowHeight="12.75"/>
  <cols>
    <col min="1" max="1" width="43.375" style="67" customWidth="1"/>
    <col min="2" max="2" width="5.50390625" style="25" customWidth="1"/>
    <col min="3" max="3" width="4.625" style="25" customWidth="1"/>
    <col min="4" max="4" width="5.375" style="25" customWidth="1"/>
    <col min="5" max="5" width="13.625" style="25" customWidth="1"/>
    <col min="6" max="6" width="5.375" style="25" customWidth="1"/>
    <col min="7" max="7" width="17.625" style="25" customWidth="1"/>
    <col min="8" max="8" width="18.375" style="25" customWidth="1"/>
    <col min="9" max="9" width="16.625" style="25" customWidth="1"/>
    <col min="10" max="10" width="14.00390625" style="25" customWidth="1"/>
    <col min="11" max="12" width="13.50390625" style="25" bestFit="1" customWidth="1"/>
    <col min="13" max="16384" width="8.625" style="25" customWidth="1"/>
  </cols>
  <sheetData>
    <row r="1" spans="2:9" ht="13.5">
      <c r="B1" s="204"/>
      <c r="C1" s="204"/>
      <c r="D1" s="204"/>
      <c r="F1" s="204"/>
      <c r="G1" s="272" t="s">
        <v>932</v>
      </c>
      <c r="H1" s="272"/>
      <c r="I1" s="272"/>
    </row>
    <row r="2" spans="2:9" ht="13.5">
      <c r="B2" s="26"/>
      <c r="C2" s="26"/>
      <c r="D2" s="26"/>
      <c r="E2" s="26"/>
      <c r="F2" s="272" t="s">
        <v>387</v>
      </c>
      <c r="G2" s="272"/>
      <c r="H2" s="272"/>
      <c r="I2" s="272"/>
    </row>
    <row r="3" spans="2:9" ht="13.5">
      <c r="B3" s="272"/>
      <c r="C3" s="272"/>
      <c r="D3" s="272"/>
      <c r="E3" s="272"/>
      <c r="F3" s="272"/>
      <c r="G3" s="272" t="s">
        <v>388</v>
      </c>
      <c r="H3" s="272"/>
      <c r="I3" s="272"/>
    </row>
    <row r="4" spans="2:9" ht="13.5">
      <c r="B4" s="273"/>
      <c r="C4" s="273"/>
      <c r="D4" s="273"/>
      <c r="E4" s="273"/>
      <c r="F4" s="273"/>
      <c r="G4" s="273" t="s">
        <v>948</v>
      </c>
      <c r="H4" s="273"/>
      <c r="I4" s="273"/>
    </row>
    <row r="6" spans="1:9" ht="13.5">
      <c r="A6" s="274" t="s">
        <v>389</v>
      </c>
      <c r="B6" s="274"/>
      <c r="C6" s="274"/>
      <c r="D6" s="274"/>
      <c r="E6" s="274"/>
      <c r="F6" s="274"/>
      <c r="G6" s="274"/>
      <c r="H6" s="274"/>
      <c r="I6" s="274"/>
    </row>
    <row r="7" spans="1:9" ht="35.25" customHeight="1">
      <c r="A7" s="275" t="s">
        <v>793</v>
      </c>
      <c r="B7" s="275"/>
      <c r="C7" s="275"/>
      <c r="D7" s="275"/>
      <c r="E7" s="275"/>
      <c r="F7" s="275"/>
      <c r="G7" s="275"/>
      <c r="H7" s="275"/>
      <c r="I7" s="275"/>
    </row>
    <row r="9" ht="13.5">
      <c r="I9" s="110" t="s">
        <v>130</v>
      </c>
    </row>
    <row r="10" spans="1:9" ht="13.5">
      <c r="A10" s="259" t="s">
        <v>329</v>
      </c>
      <c r="B10" s="259" t="s">
        <v>330</v>
      </c>
      <c r="C10" s="270" t="s">
        <v>136</v>
      </c>
      <c r="D10" s="270" t="s">
        <v>137</v>
      </c>
      <c r="E10" s="259" t="s">
        <v>331</v>
      </c>
      <c r="F10" s="259" t="s">
        <v>332</v>
      </c>
      <c r="G10" s="259" t="s">
        <v>496</v>
      </c>
      <c r="H10" s="259" t="s">
        <v>333</v>
      </c>
      <c r="I10" s="259"/>
    </row>
    <row r="11" spans="1:9" ht="13.5">
      <c r="A11" s="259"/>
      <c r="B11" s="259"/>
      <c r="C11" s="270"/>
      <c r="D11" s="270"/>
      <c r="E11" s="259"/>
      <c r="F11" s="259"/>
      <c r="G11" s="259"/>
      <c r="H11" s="58" t="s">
        <v>334</v>
      </c>
      <c r="I11" s="58" t="s">
        <v>272</v>
      </c>
    </row>
    <row r="12" spans="1:9" ht="30.75" customHeight="1">
      <c r="A12" s="245" t="s">
        <v>335</v>
      </c>
      <c r="B12" s="171">
        <v>951</v>
      </c>
      <c r="C12" s="171" t="s">
        <v>141</v>
      </c>
      <c r="D12" s="171" t="s">
        <v>141</v>
      </c>
      <c r="E12" s="171" t="s">
        <v>304</v>
      </c>
      <c r="F12" s="171" t="s">
        <v>391</v>
      </c>
      <c r="G12" s="91">
        <f>I12+H12</f>
        <v>146606.13659</v>
      </c>
      <c r="H12" s="91">
        <f>H13+H136+H141+H158+H166+H213+H261+H315+H373+H411+H440</f>
        <v>96883.86401</v>
      </c>
      <c r="I12" s="91">
        <f>I13+I136+I141+I158+I166+I213+I261+I315+I373+I411+I440</f>
        <v>49722.272580000004</v>
      </c>
    </row>
    <row r="13" spans="1:12" ht="18" customHeight="1">
      <c r="A13" s="245" t="s">
        <v>336</v>
      </c>
      <c r="B13" s="171">
        <v>951</v>
      </c>
      <c r="C13" s="171" t="s">
        <v>140</v>
      </c>
      <c r="D13" s="171" t="s">
        <v>141</v>
      </c>
      <c r="E13" s="171" t="s">
        <v>304</v>
      </c>
      <c r="F13" s="171" t="s">
        <v>391</v>
      </c>
      <c r="G13" s="91">
        <f>H13+I13</f>
        <v>31078.43996</v>
      </c>
      <c r="H13" s="91">
        <f>H14+H20+H30+H37+H43+H34</f>
        <v>25435.09436</v>
      </c>
      <c r="I13" s="91">
        <f>I14+I20+I30+I37+I43+I34</f>
        <v>5643.3456000000015</v>
      </c>
      <c r="K13" s="293"/>
      <c r="L13" s="294"/>
    </row>
    <row r="14" spans="1:11" ht="44.25" customHeight="1">
      <c r="A14" s="50" t="s">
        <v>337</v>
      </c>
      <c r="B14" s="21">
        <v>951</v>
      </c>
      <c r="C14" s="35" t="s">
        <v>140</v>
      </c>
      <c r="D14" s="35" t="s">
        <v>142</v>
      </c>
      <c r="E14" s="35" t="s">
        <v>304</v>
      </c>
      <c r="F14" s="35" t="s">
        <v>391</v>
      </c>
      <c r="G14" s="83">
        <f>H14+I14</f>
        <v>1951.31</v>
      </c>
      <c r="H14" s="83">
        <f aca="true" t="shared" si="0" ref="H14:I18">H15</f>
        <v>1951.31</v>
      </c>
      <c r="I14" s="83">
        <f t="shared" si="0"/>
        <v>0</v>
      </c>
      <c r="J14" s="82"/>
      <c r="K14" s="82"/>
    </row>
    <row r="15" spans="1:9" ht="32.25" customHeight="1">
      <c r="A15" s="50" t="s">
        <v>143</v>
      </c>
      <c r="B15" s="21">
        <v>951</v>
      </c>
      <c r="C15" s="35" t="s">
        <v>140</v>
      </c>
      <c r="D15" s="35" t="s">
        <v>142</v>
      </c>
      <c r="E15" s="35" t="s">
        <v>8</v>
      </c>
      <c r="F15" s="35" t="s">
        <v>391</v>
      </c>
      <c r="G15" s="83">
        <f aca="true" t="shared" si="1" ref="G15:G138">H15+I15</f>
        <v>1951.31</v>
      </c>
      <c r="H15" s="83">
        <f t="shared" si="0"/>
        <v>1951.31</v>
      </c>
      <c r="I15" s="83">
        <f t="shared" si="0"/>
        <v>0</v>
      </c>
    </row>
    <row r="16" spans="1:9" ht="45.75" customHeight="1">
      <c r="A16" s="50" t="s">
        <v>144</v>
      </c>
      <c r="B16" s="21">
        <v>951</v>
      </c>
      <c r="C16" s="35" t="s">
        <v>140</v>
      </c>
      <c r="D16" s="35" t="s">
        <v>142</v>
      </c>
      <c r="E16" s="35" t="s">
        <v>9</v>
      </c>
      <c r="F16" s="35" t="s">
        <v>391</v>
      </c>
      <c r="G16" s="83">
        <f t="shared" si="1"/>
        <v>1951.31</v>
      </c>
      <c r="H16" s="83">
        <f t="shared" si="0"/>
        <v>1951.31</v>
      </c>
      <c r="I16" s="83">
        <f t="shared" si="0"/>
        <v>0</v>
      </c>
    </row>
    <row r="17" spans="1:9" ht="16.5" customHeight="1">
      <c r="A17" s="50" t="s">
        <v>396</v>
      </c>
      <c r="B17" s="21">
        <v>951</v>
      </c>
      <c r="C17" s="35" t="s">
        <v>140</v>
      </c>
      <c r="D17" s="35" t="s">
        <v>142</v>
      </c>
      <c r="E17" s="35" t="s">
        <v>10</v>
      </c>
      <c r="F17" s="35" t="s">
        <v>391</v>
      </c>
      <c r="G17" s="83">
        <f t="shared" si="1"/>
        <v>1951.31</v>
      </c>
      <c r="H17" s="83">
        <f t="shared" si="0"/>
        <v>1951.31</v>
      </c>
      <c r="I17" s="83">
        <f t="shared" si="0"/>
        <v>0</v>
      </c>
    </row>
    <row r="18" spans="1:9" ht="81" customHeight="1">
      <c r="A18" s="17" t="s">
        <v>177</v>
      </c>
      <c r="B18" s="21">
        <v>951</v>
      </c>
      <c r="C18" s="35" t="s">
        <v>140</v>
      </c>
      <c r="D18" s="35" t="s">
        <v>142</v>
      </c>
      <c r="E18" s="35" t="s">
        <v>10</v>
      </c>
      <c r="F18" s="35" t="s">
        <v>145</v>
      </c>
      <c r="G18" s="83">
        <f t="shared" si="1"/>
        <v>1951.31</v>
      </c>
      <c r="H18" s="83">
        <f t="shared" si="0"/>
        <v>1951.31</v>
      </c>
      <c r="I18" s="83">
        <f t="shared" si="0"/>
        <v>0</v>
      </c>
    </row>
    <row r="19" spans="1:9" ht="30" customHeight="1">
      <c r="A19" s="17" t="s">
        <v>179</v>
      </c>
      <c r="B19" s="21">
        <v>951</v>
      </c>
      <c r="C19" s="35" t="s">
        <v>140</v>
      </c>
      <c r="D19" s="35" t="s">
        <v>142</v>
      </c>
      <c r="E19" s="35" t="s">
        <v>10</v>
      </c>
      <c r="F19" s="35" t="s">
        <v>178</v>
      </c>
      <c r="G19" s="83">
        <f t="shared" si="1"/>
        <v>1951.31</v>
      </c>
      <c r="H19" s="83">
        <f>1836.31+90+25</f>
        <v>1951.31</v>
      </c>
      <c r="I19" s="83"/>
    </row>
    <row r="20" spans="1:11" ht="69">
      <c r="A20" s="17" t="s">
        <v>320</v>
      </c>
      <c r="B20" s="21">
        <v>951</v>
      </c>
      <c r="C20" s="35" t="s">
        <v>140</v>
      </c>
      <c r="D20" s="35" t="s">
        <v>151</v>
      </c>
      <c r="E20" s="35" t="s">
        <v>304</v>
      </c>
      <c r="F20" s="35" t="s">
        <v>391</v>
      </c>
      <c r="G20" s="83">
        <f t="shared" si="1"/>
        <v>17478.332</v>
      </c>
      <c r="H20" s="83">
        <f>H21</f>
        <v>17478.332</v>
      </c>
      <c r="I20" s="83">
        <f aca="true" t="shared" si="2" ref="H20:I22">I21</f>
        <v>0</v>
      </c>
      <c r="K20" s="82"/>
    </row>
    <row r="21" spans="1:9" ht="27">
      <c r="A21" s="17" t="s">
        <v>143</v>
      </c>
      <c r="B21" s="21">
        <v>951</v>
      </c>
      <c r="C21" s="35" t="s">
        <v>140</v>
      </c>
      <c r="D21" s="35" t="s">
        <v>151</v>
      </c>
      <c r="E21" s="35" t="s">
        <v>8</v>
      </c>
      <c r="F21" s="35" t="s">
        <v>391</v>
      </c>
      <c r="G21" s="83">
        <f t="shared" si="1"/>
        <v>17478.332</v>
      </c>
      <c r="H21" s="83">
        <f t="shared" si="2"/>
        <v>17478.332</v>
      </c>
      <c r="I21" s="83">
        <f t="shared" si="2"/>
        <v>0</v>
      </c>
    </row>
    <row r="22" spans="1:9" ht="45" customHeight="1">
      <c r="A22" s="17" t="s">
        <v>144</v>
      </c>
      <c r="B22" s="21">
        <v>951</v>
      </c>
      <c r="C22" s="35" t="s">
        <v>140</v>
      </c>
      <c r="D22" s="35" t="s">
        <v>151</v>
      </c>
      <c r="E22" s="35" t="s">
        <v>9</v>
      </c>
      <c r="F22" s="35" t="s">
        <v>391</v>
      </c>
      <c r="G22" s="83">
        <f t="shared" si="1"/>
        <v>17478.332</v>
      </c>
      <c r="H22" s="83">
        <f t="shared" si="2"/>
        <v>17478.332</v>
      </c>
      <c r="I22" s="83">
        <f t="shared" si="2"/>
        <v>0</v>
      </c>
    </row>
    <row r="23" spans="1:9" ht="45" customHeight="1">
      <c r="A23" s="17" t="s">
        <v>148</v>
      </c>
      <c r="B23" s="21">
        <v>951</v>
      </c>
      <c r="C23" s="35" t="s">
        <v>140</v>
      </c>
      <c r="D23" s="35" t="s">
        <v>151</v>
      </c>
      <c r="E23" s="35" t="s">
        <v>12</v>
      </c>
      <c r="F23" s="35" t="s">
        <v>391</v>
      </c>
      <c r="G23" s="83">
        <f t="shared" si="1"/>
        <v>17478.332</v>
      </c>
      <c r="H23" s="83">
        <f>H24+H26+H28</f>
        <v>17478.332</v>
      </c>
      <c r="I23" s="83">
        <f>I24+I26+I28</f>
        <v>0</v>
      </c>
    </row>
    <row r="24" spans="1:9" ht="90.75" customHeight="1">
      <c r="A24" s="17" t="s">
        <v>177</v>
      </c>
      <c r="B24" s="21">
        <v>951</v>
      </c>
      <c r="C24" s="35" t="s">
        <v>140</v>
      </c>
      <c r="D24" s="35" t="s">
        <v>151</v>
      </c>
      <c r="E24" s="35" t="s">
        <v>12</v>
      </c>
      <c r="F24" s="35" t="s">
        <v>145</v>
      </c>
      <c r="G24" s="83">
        <f>H24+I24</f>
        <v>11147</v>
      </c>
      <c r="H24" s="83">
        <f>H25</f>
        <v>11147</v>
      </c>
      <c r="I24" s="83">
        <f>I25</f>
        <v>0</v>
      </c>
    </row>
    <row r="25" spans="1:10" ht="30.75" customHeight="1">
      <c r="A25" s="17" t="s">
        <v>179</v>
      </c>
      <c r="B25" s="21">
        <v>951</v>
      </c>
      <c r="C25" s="35" t="s">
        <v>140</v>
      </c>
      <c r="D25" s="35" t="s">
        <v>151</v>
      </c>
      <c r="E25" s="35" t="s">
        <v>12</v>
      </c>
      <c r="F25" s="35" t="s">
        <v>178</v>
      </c>
      <c r="G25" s="83">
        <f t="shared" si="1"/>
        <v>11147</v>
      </c>
      <c r="H25" s="83">
        <f>9060.7+250+2736.3-230+230-800-100</f>
        <v>11147</v>
      </c>
      <c r="I25" s="83"/>
      <c r="J25" s="82"/>
    </row>
    <row r="26" spans="1:9" ht="27">
      <c r="A26" s="17" t="s">
        <v>180</v>
      </c>
      <c r="B26" s="21">
        <v>951</v>
      </c>
      <c r="C26" s="35" t="s">
        <v>140</v>
      </c>
      <c r="D26" s="35" t="s">
        <v>151</v>
      </c>
      <c r="E26" s="35" t="s">
        <v>12</v>
      </c>
      <c r="F26" s="35" t="s">
        <v>149</v>
      </c>
      <c r="G26" s="83">
        <f t="shared" si="1"/>
        <v>5823.82</v>
      </c>
      <c r="H26" s="83">
        <f>H27</f>
        <v>5823.82</v>
      </c>
      <c r="I26" s="83">
        <f>I27</f>
        <v>0</v>
      </c>
    </row>
    <row r="27" spans="1:9" ht="41.25">
      <c r="A27" s="17" t="s">
        <v>181</v>
      </c>
      <c r="B27" s="21">
        <v>951</v>
      </c>
      <c r="C27" s="35" t="s">
        <v>140</v>
      </c>
      <c r="D27" s="35" t="s">
        <v>151</v>
      </c>
      <c r="E27" s="35" t="s">
        <v>12</v>
      </c>
      <c r="F27" s="35" t="s">
        <v>182</v>
      </c>
      <c r="G27" s="83">
        <f t="shared" si="1"/>
        <v>5823.82</v>
      </c>
      <c r="H27" s="83">
        <f>6545.82+230+1678-230-1678-245-350-127</f>
        <v>5823.82</v>
      </c>
      <c r="I27" s="83"/>
    </row>
    <row r="28" spans="1:9" ht="13.5">
      <c r="A28" s="17" t="s">
        <v>185</v>
      </c>
      <c r="B28" s="21">
        <v>951</v>
      </c>
      <c r="C28" s="35" t="s">
        <v>140</v>
      </c>
      <c r="D28" s="35" t="s">
        <v>151</v>
      </c>
      <c r="E28" s="35" t="s">
        <v>12</v>
      </c>
      <c r="F28" s="35" t="s">
        <v>186</v>
      </c>
      <c r="G28" s="83">
        <f t="shared" si="1"/>
        <v>507.512</v>
      </c>
      <c r="H28" s="83">
        <f>H29</f>
        <v>507.512</v>
      </c>
      <c r="I28" s="83">
        <f>I29</f>
        <v>0</v>
      </c>
    </row>
    <row r="29" spans="1:9" ht="13.5">
      <c r="A29" s="36" t="s">
        <v>183</v>
      </c>
      <c r="B29" s="21">
        <v>951</v>
      </c>
      <c r="C29" s="35" t="s">
        <v>140</v>
      </c>
      <c r="D29" s="35" t="s">
        <v>151</v>
      </c>
      <c r="E29" s="35" t="s">
        <v>12</v>
      </c>
      <c r="F29" s="35" t="s">
        <v>184</v>
      </c>
      <c r="G29" s="83">
        <f t="shared" si="1"/>
        <v>507.512</v>
      </c>
      <c r="H29" s="83">
        <f>492-40.158+55.67</f>
        <v>507.512</v>
      </c>
      <c r="I29" s="83"/>
    </row>
    <row r="30" spans="1:9" ht="13.5" hidden="1">
      <c r="A30" s="17" t="s">
        <v>157</v>
      </c>
      <c r="B30" s="21">
        <v>951</v>
      </c>
      <c r="C30" s="35" t="s">
        <v>140</v>
      </c>
      <c r="D30" s="35" t="s">
        <v>158</v>
      </c>
      <c r="E30" s="35" t="s">
        <v>304</v>
      </c>
      <c r="F30" s="35" t="s">
        <v>391</v>
      </c>
      <c r="G30" s="83">
        <f t="shared" si="1"/>
        <v>0</v>
      </c>
      <c r="H30" s="83">
        <f aca="true" t="shared" si="3" ref="H30:I32">H31</f>
        <v>0</v>
      </c>
      <c r="I30" s="83">
        <f t="shared" si="3"/>
        <v>0</v>
      </c>
    </row>
    <row r="31" spans="1:9" ht="27" hidden="1">
      <c r="A31" s="17" t="s">
        <v>159</v>
      </c>
      <c r="B31" s="21">
        <v>951</v>
      </c>
      <c r="C31" s="35" t="s">
        <v>140</v>
      </c>
      <c r="D31" s="35" t="s">
        <v>158</v>
      </c>
      <c r="E31" s="35" t="s">
        <v>317</v>
      </c>
      <c r="F31" s="35" t="s">
        <v>391</v>
      </c>
      <c r="G31" s="83">
        <f t="shared" si="1"/>
        <v>0</v>
      </c>
      <c r="H31" s="83">
        <f t="shared" si="3"/>
        <v>0</v>
      </c>
      <c r="I31" s="83">
        <f t="shared" si="3"/>
        <v>0</v>
      </c>
    </row>
    <row r="32" spans="1:9" ht="13.5" hidden="1">
      <c r="A32" s="17" t="s">
        <v>185</v>
      </c>
      <c r="B32" s="21">
        <v>951</v>
      </c>
      <c r="C32" s="35" t="s">
        <v>140</v>
      </c>
      <c r="D32" s="35" t="s">
        <v>158</v>
      </c>
      <c r="E32" s="35" t="s">
        <v>317</v>
      </c>
      <c r="F32" s="35" t="s">
        <v>186</v>
      </c>
      <c r="G32" s="83">
        <f t="shared" si="1"/>
        <v>0</v>
      </c>
      <c r="H32" s="83">
        <f t="shared" si="3"/>
        <v>0</v>
      </c>
      <c r="I32" s="83">
        <f t="shared" si="3"/>
        <v>0</v>
      </c>
    </row>
    <row r="33" spans="1:9" ht="13.5" hidden="1">
      <c r="A33" s="17" t="s">
        <v>187</v>
      </c>
      <c r="B33" s="21">
        <v>951</v>
      </c>
      <c r="C33" s="35" t="s">
        <v>140</v>
      </c>
      <c r="D33" s="35" t="s">
        <v>158</v>
      </c>
      <c r="E33" s="35" t="s">
        <v>317</v>
      </c>
      <c r="F33" s="35" t="s">
        <v>188</v>
      </c>
      <c r="G33" s="83">
        <f t="shared" si="1"/>
        <v>0</v>
      </c>
      <c r="H33" s="83">
        <v>0</v>
      </c>
      <c r="I33" s="83"/>
    </row>
    <row r="34" spans="1:9" ht="42" customHeight="1">
      <c r="A34" s="36" t="s">
        <v>706</v>
      </c>
      <c r="B34" s="21" t="s">
        <v>169</v>
      </c>
      <c r="C34" s="35" t="s">
        <v>140</v>
      </c>
      <c r="D34" s="35" t="s">
        <v>371</v>
      </c>
      <c r="E34" s="35" t="s">
        <v>440</v>
      </c>
      <c r="F34" s="35" t="s">
        <v>391</v>
      </c>
      <c r="G34" s="83">
        <f>I34</f>
        <v>26.012800000000002</v>
      </c>
      <c r="H34" s="83"/>
      <c r="I34" s="83">
        <f>I35</f>
        <v>26.012800000000002</v>
      </c>
    </row>
    <row r="35" spans="1:9" ht="27">
      <c r="A35" s="17" t="s">
        <v>180</v>
      </c>
      <c r="B35" s="21" t="s">
        <v>169</v>
      </c>
      <c r="C35" s="35" t="s">
        <v>140</v>
      </c>
      <c r="D35" s="35" t="s">
        <v>371</v>
      </c>
      <c r="E35" s="35" t="s">
        <v>440</v>
      </c>
      <c r="F35" s="35" t="s">
        <v>149</v>
      </c>
      <c r="G35" s="83">
        <f>I35</f>
        <v>26.012800000000002</v>
      </c>
      <c r="H35" s="83"/>
      <c r="I35" s="83">
        <f>I36</f>
        <v>26.012800000000002</v>
      </c>
    </row>
    <row r="36" spans="1:9" ht="41.25">
      <c r="A36" s="17" t="s">
        <v>181</v>
      </c>
      <c r="B36" s="21" t="s">
        <v>169</v>
      </c>
      <c r="C36" s="35" t="s">
        <v>140</v>
      </c>
      <c r="D36" s="35" t="s">
        <v>371</v>
      </c>
      <c r="E36" s="35" t="s">
        <v>440</v>
      </c>
      <c r="F36" s="35" t="s">
        <v>182</v>
      </c>
      <c r="G36" s="83">
        <f>I36</f>
        <v>26.012800000000002</v>
      </c>
      <c r="H36" s="83"/>
      <c r="I36" s="83">
        <f>26.012+0.0008</f>
        <v>26.012800000000002</v>
      </c>
    </row>
    <row r="37" spans="1:9" ht="14.25" hidden="1">
      <c r="A37" s="70" t="s">
        <v>157</v>
      </c>
      <c r="B37" s="85" t="s">
        <v>169</v>
      </c>
      <c r="C37" s="71" t="s">
        <v>140</v>
      </c>
      <c r="D37" s="71" t="s">
        <v>158</v>
      </c>
      <c r="E37" s="71" t="s">
        <v>304</v>
      </c>
      <c r="F37" s="71" t="s">
        <v>391</v>
      </c>
      <c r="G37" s="86">
        <f aca="true" t="shared" si="4" ref="G37:G43">H37+I37</f>
        <v>0</v>
      </c>
      <c r="H37" s="86">
        <f>H38</f>
        <v>0</v>
      </c>
      <c r="I37" s="86"/>
    </row>
    <row r="38" spans="1:9" ht="27" hidden="1">
      <c r="A38" s="218" t="s">
        <v>143</v>
      </c>
      <c r="B38" s="21" t="s">
        <v>169</v>
      </c>
      <c r="C38" s="35" t="s">
        <v>140</v>
      </c>
      <c r="D38" s="35" t="s">
        <v>158</v>
      </c>
      <c r="E38" s="68" t="s">
        <v>8</v>
      </c>
      <c r="F38" s="68" t="s">
        <v>391</v>
      </c>
      <c r="G38" s="83">
        <f t="shared" si="4"/>
        <v>0</v>
      </c>
      <c r="H38" s="83">
        <f>H39</f>
        <v>0</v>
      </c>
      <c r="I38" s="83"/>
    </row>
    <row r="39" spans="1:9" ht="33" customHeight="1" hidden="1">
      <c r="A39" s="218" t="s">
        <v>144</v>
      </c>
      <c r="B39" s="21" t="s">
        <v>169</v>
      </c>
      <c r="C39" s="35" t="s">
        <v>140</v>
      </c>
      <c r="D39" s="35" t="s">
        <v>158</v>
      </c>
      <c r="E39" s="68" t="s">
        <v>9</v>
      </c>
      <c r="F39" s="68" t="s">
        <v>391</v>
      </c>
      <c r="G39" s="83">
        <f t="shared" si="4"/>
        <v>0</v>
      </c>
      <c r="H39" s="83">
        <f>H40</f>
        <v>0</v>
      </c>
      <c r="I39" s="83"/>
    </row>
    <row r="40" spans="1:9" ht="27" hidden="1">
      <c r="A40" s="218" t="s">
        <v>533</v>
      </c>
      <c r="B40" s="21" t="s">
        <v>169</v>
      </c>
      <c r="C40" s="35" t="s">
        <v>140</v>
      </c>
      <c r="D40" s="35" t="s">
        <v>158</v>
      </c>
      <c r="E40" s="35" t="s">
        <v>534</v>
      </c>
      <c r="F40" s="68" t="s">
        <v>391</v>
      </c>
      <c r="G40" s="83">
        <f t="shared" si="4"/>
        <v>0</v>
      </c>
      <c r="H40" s="83">
        <f>H41</f>
        <v>0</v>
      </c>
      <c r="I40" s="83"/>
    </row>
    <row r="41" spans="1:9" ht="13.5" hidden="1">
      <c r="A41" s="218" t="s">
        <v>185</v>
      </c>
      <c r="B41" s="21" t="s">
        <v>169</v>
      </c>
      <c r="C41" s="35" t="s">
        <v>140</v>
      </c>
      <c r="D41" s="35" t="s">
        <v>158</v>
      </c>
      <c r="E41" s="35" t="s">
        <v>534</v>
      </c>
      <c r="F41" s="68" t="s">
        <v>186</v>
      </c>
      <c r="G41" s="83">
        <f t="shared" si="4"/>
        <v>0</v>
      </c>
      <c r="H41" s="83">
        <f>H42</f>
        <v>0</v>
      </c>
      <c r="I41" s="83"/>
    </row>
    <row r="42" spans="1:9" ht="13.5" hidden="1">
      <c r="A42" s="218" t="s">
        <v>187</v>
      </c>
      <c r="B42" s="21" t="s">
        <v>169</v>
      </c>
      <c r="C42" s="35" t="s">
        <v>140</v>
      </c>
      <c r="D42" s="35" t="s">
        <v>158</v>
      </c>
      <c r="E42" s="35" t="s">
        <v>534</v>
      </c>
      <c r="F42" s="68" t="s">
        <v>188</v>
      </c>
      <c r="G42" s="83">
        <f t="shared" si="4"/>
        <v>0</v>
      </c>
      <c r="H42" s="83">
        <f>100-11.45-24.964+600-25.292-6.497-16.526-16.045-27.55-20-5-20-13.99501-10-502.68099</f>
        <v>0</v>
      </c>
      <c r="I42" s="83"/>
    </row>
    <row r="43" spans="1:9" ht="16.5" customHeight="1">
      <c r="A43" s="73" t="s">
        <v>339</v>
      </c>
      <c r="B43" s="85">
        <v>951</v>
      </c>
      <c r="C43" s="71" t="s">
        <v>140</v>
      </c>
      <c r="D43" s="71" t="s">
        <v>160</v>
      </c>
      <c r="E43" s="71" t="s">
        <v>304</v>
      </c>
      <c r="F43" s="71" t="s">
        <v>391</v>
      </c>
      <c r="G43" s="86">
        <f t="shared" si="4"/>
        <v>11622.785160000001</v>
      </c>
      <c r="H43" s="86">
        <f>H44+H76+H112+H130+H86+H70+H89+H133+H94+H150</f>
        <v>6005.45236</v>
      </c>
      <c r="I43" s="86">
        <f>I44</f>
        <v>5617.332800000001</v>
      </c>
    </row>
    <row r="44" spans="1:10" ht="16.5" customHeight="1">
      <c r="A44" s="17" t="s">
        <v>161</v>
      </c>
      <c r="B44" s="21">
        <v>951</v>
      </c>
      <c r="C44" s="35" t="s">
        <v>140</v>
      </c>
      <c r="D44" s="35" t="s">
        <v>160</v>
      </c>
      <c r="E44" s="35" t="s">
        <v>304</v>
      </c>
      <c r="F44" s="35" t="s">
        <v>391</v>
      </c>
      <c r="G44" s="83">
        <f t="shared" si="1"/>
        <v>5617.332800000001</v>
      </c>
      <c r="H44" s="83">
        <f>H45+H50+H55+H60</f>
        <v>0</v>
      </c>
      <c r="I44" s="83">
        <f>I45+I50+I55+I60+I65+I68+I99</f>
        <v>5617.332800000001</v>
      </c>
      <c r="J44" s="82"/>
    </row>
    <row r="45" spans="1:11" ht="58.5" customHeight="1">
      <c r="A45" s="17" t="s">
        <v>162</v>
      </c>
      <c r="B45" s="21">
        <v>951</v>
      </c>
      <c r="C45" s="35" t="s">
        <v>140</v>
      </c>
      <c r="D45" s="35" t="s">
        <v>160</v>
      </c>
      <c r="E45" s="35" t="s">
        <v>14</v>
      </c>
      <c r="F45" s="35" t="s">
        <v>391</v>
      </c>
      <c r="G45" s="83">
        <f t="shared" si="1"/>
        <v>801.977</v>
      </c>
      <c r="H45" s="83">
        <f>H46+H48</f>
        <v>0</v>
      </c>
      <c r="I45" s="83">
        <f>I46+I48</f>
        <v>801.977</v>
      </c>
      <c r="J45" s="295"/>
      <c r="K45" s="205"/>
    </row>
    <row r="46" spans="1:9" ht="84" customHeight="1">
      <c r="A46" s="17" t="s">
        <v>177</v>
      </c>
      <c r="B46" s="21">
        <v>951</v>
      </c>
      <c r="C46" s="35" t="s">
        <v>140</v>
      </c>
      <c r="D46" s="35" t="s">
        <v>160</v>
      </c>
      <c r="E46" s="35" t="s">
        <v>14</v>
      </c>
      <c r="F46" s="35" t="s">
        <v>145</v>
      </c>
      <c r="G46" s="83">
        <f t="shared" si="1"/>
        <v>519.68054</v>
      </c>
      <c r="H46" s="83">
        <f>H47</f>
        <v>0</v>
      </c>
      <c r="I46" s="83">
        <f>I47</f>
        <v>519.68054</v>
      </c>
    </row>
    <row r="47" spans="1:9" ht="29.25" customHeight="1">
      <c r="A47" s="44" t="s">
        <v>179</v>
      </c>
      <c r="B47" s="21">
        <v>951</v>
      </c>
      <c r="C47" s="35" t="s">
        <v>140</v>
      </c>
      <c r="D47" s="35" t="s">
        <v>160</v>
      </c>
      <c r="E47" s="35" t="s">
        <v>14</v>
      </c>
      <c r="F47" s="35" t="s">
        <v>178</v>
      </c>
      <c r="G47" s="83">
        <f t="shared" si="1"/>
        <v>519.68054</v>
      </c>
      <c r="H47" s="83"/>
      <c r="I47" s="83">
        <f>542.93+7.116-30.36546</f>
        <v>519.68054</v>
      </c>
    </row>
    <row r="48" spans="1:9" ht="31.5" customHeight="1">
      <c r="A48" s="17" t="s">
        <v>180</v>
      </c>
      <c r="B48" s="21">
        <v>951</v>
      </c>
      <c r="C48" s="35" t="s">
        <v>140</v>
      </c>
      <c r="D48" s="35" t="s">
        <v>160</v>
      </c>
      <c r="E48" s="35" t="s">
        <v>14</v>
      </c>
      <c r="F48" s="35" t="s">
        <v>149</v>
      </c>
      <c r="G48" s="83">
        <f t="shared" si="1"/>
        <v>282.29646</v>
      </c>
      <c r="H48" s="83">
        <f>H49</f>
        <v>0</v>
      </c>
      <c r="I48" s="83">
        <f>I49</f>
        <v>282.29646</v>
      </c>
    </row>
    <row r="49" spans="1:9" ht="42.75" customHeight="1">
      <c r="A49" s="44" t="s">
        <v>181</v>
      </c>
      <c r="B49" s="21">
        <v>951</v>
      </c>
      <c r="C49" s="35" t="s">
        <v>140</v>
      </c>
      <c r="D49" s="35" t="s">
        <v>160</v>
      </c>
      <c r="E49" s="35" t="s">
        <v>14</v>
      </c>
      <c r="F49" s="35" t="s">
        <v>182</v>
      </c>
      <c r="G49" s="83">
        <f t="shared" si="1"/>
        <v>282.29646</v>
      </c>
      <c r="H49" s="83"/>
      <c r="I49" s="83">
        <f>251.931+30.36546</f>
        <v>282.29646</v>
      </c>
    </row>
    <row r="50" spans="1:11" ht="47.25" customHeight="1">
      <c r="A50" s="17" t="s">
        <v>401</v>
      </c>
      <c r="B50" s="21">
        <v>951</v>
      </c>
      <c r="C50" s="35" t="s">
        <v>140</v>
      </c>
      <c r="D50" s="35" t="s">
        <v>160</v>
      </c>
      <c r="E50" s="35" t="s">
        <v>803</v>
      </c>
      <c r="F50" s="35" t="s">
        <v>391</v>
      </c>
      <c r="G50" s="83">
        <f t="shared" si="1"/>
        <v>1208.767</v>
      </c>
      <c r="H50" s="83">
        <f>H51+H53</f>
        <v>0</v>
      </c>
      <c r="I50" s="83">
        <f>I51+I53</f>
        <v>1208.767</v>
      </c>
      <c r="K50" s="82"/>
    </row>
    <row r="51" spans="1:9" ht="75" customHeight="1">
      <c r="A51" s="17" t="s">
        <v>177</v>
      </c>
      <c r="B51" s="21" t="s">
        <v>169</v>
      </c>
      <c r="C51" s="35" t="s">
        <v>140</v>
      </c>
      <c r="D51" s="35" t="s">
        <v>160</v>
      </c>
      <c r="E51" s="35" t="s">
        <v>803</v>
      </c>
      <c r="F51" s="35" t="s">
        <v>145</v>
      </c>
      <c r="G51" s="83">
        <f t="shared" si="1"/>
        <v>1121.82248</v>
      </c>
      <c r="H51" s="83">
        <f>H52</f>
        <v>0</v>
      </c>
      <c r="I51" s="83">
        <f>I52</f>
        <v>1121.82248</v>
      </c>
    </row>
    <row r="52" spans="1:9" ht="32.25" customHeight="1">
      <c r="A52" s="44" t="s">
        <v>179</v>
      </c>
      <c r="B52" s="21" t="s">
        <v>169</v>
      </c>
      <c r="C52" s="35" t="s">
        <v>140</v>
      </c>
      <c r="D52" s="35" t="s">
        <v>160</v>
      </c>
      <c r="E52" s="35" t="s">
        <v>803</v>
      </c>
      <c r="F52" s="35" t="s">
        <v>178</v>
      </c>
      <c r="G52" s="83">
        <f t="shared" si="1"/>
        <v>1121.82248</v>
      </c>
      <c r="H52" s="83"/>
      <c r="I52" s="83">
        <f>1139.911+10.976-18.08852-10.976</f>
        <v>1121.82248</v>
      </c>
    </row>
    <row r="53" spans="1:9" ht="31.5" customHeight="1">
      <c r="A53" s="17" t="s">
        <v>180</v>
      </c>
      <c r="B53" s="21">
        <v>951</v>
      </c>
      <c r="C53" s="35" t="s">
        <v>140</v>
      </c>
      <c r="D53" s="35" t="s">
        <v>160</v>
      </c>
      <c r="E53" s="35" t="s">
        <v>803</v>
      </c>
      <c r="F53" s="35" t="s">
        <v>149</v>
      </c>
      <c r="G53" s="83">
        <f t="shared" si="1"/>
        <v>86.94452</v>
      </c>
      <c r="H53" s="83">
        <f>H54</f>
        <v>0</v>
      </c>
      <c r="I53" s="83">
        <f>I54</f>
        <v>86.94452</v>
      </c>
    </row>
    <row r="54" spans="1:9" ht="44.25" customHeight="1">
      <c r="A54" s="44" t="s">
        <v>181</v>
      </c>
      <c r="B54" s="21">
        <v>951</v>
      </c>
      <c r="C54" s="35" t="s">
        <v>140</v>
      </c>
      <c r="D54" s="35" t="s">
        <v>160</v>
      </c>
      <c r="E54" s="35" t="s">
        <v>803</v>
      </c>
      <c r="F54" s="35" t="s">
        <v>182</v>
      </c>
      <c r="G54" s="83">
        <f t="shared" si="1"/>
        <v>86.94452</v>
      </c>
      <c r="H54" s="83"/>
      <c r="I54" s="83">
        <f>57.88+18.08852+10.976</f>
        <v>86.94452</v>
      </c>
    </row>
    <row r="55" spans="1:11" ht="44.25" customHeight="1">
      <c r="A55" s="17" t="s">
        <v>163</v>
      </c>
      <c r="B55" s="21" t="s">
        <v>169</v>
      </c>
      <c r="C55" s="35" t="s">
        <v>140</v>
      </c>
      <c r="D55" s="35" t="s">
        <v>160</v>
      </c>
      <c r="E55" s="35" t="s">
        <v>803</v>
      </c>
      <c r="F55" s="35" t="s">
        <v>391</v>
      </c>
      <c r="G55" s="83">
        <f t="shared" si="1"/>
        <v>773.416</v>
      </c>
      <c r="H55" s="83">
        <f>H56+H58</f>
        <v>0</v>
      </c>
      <c r="I55" s="83">
        <f>I56+I58</f>
        <v>773.416</v>
      </c>
      <c r="J55" s="295"/>
      <c r="K55" s="82"/>
    </row>
    <row r="56" spans="1:9" ht="81" customHeight="1">
      <c r="A56" s="17" t="s">
        <v>177</v>
      </c>
      <c r="B56" s="21" t="s">
        <v>169</v>
      </c>
      <c r="C56" s="35" t="s">
        <v>140</v>
      </c>
      <c r="D56" s="35" t="s">
        <v>160</v>
      </c>
      <c r="E56" s="35" t="s">
        <v>803</v>
      </c>
      <c r="F56" s="35" t="s">
        <v>145</v>
      </c>
      <c r="G56" s="83">
        <f t="shared" si="1"/>
        <v>720.0174900000001</v>
      </c>
      <c r="H56" s="83">
        <f>H57</f>
        <v>0</v>
      </c>
      <c r="I56" s="83">
        <f>I57</f>
        <v>720.0174900000001</v>
      </c>
    </row>
    <row r="57" spans="1:9" ht="30" customHeight="1">
      <c r="A57" s="44" t="s">
        <v>179</v>
      </c>
      <c r="B57" s="21">
        <v>951</v>
      </c>
      <c r="C57" s="35" t="s">
        <v>140</v>
      </c>
      <c r="D57" s="35" t="s">
        <v>160</v>
      </c>
      <c r="E57" s="35" t="s">
        <v>803</v>
      </c>
      <c r="F57" s="35" t="s">
        <v>178</v>
      </c>
      <c r="G57" s="83">
        <f t="shared" si="1"/>
        <v>720.0174900000001</v>
      </c>
      <c r="H57" s="83"/>
      <c r="I57" s="83">
        <f>719.07+6.991-6.04351</f>
        <v>720.0174900000001</v>
      </c>
    </row>
    <row r="58" spans="1:9" ht="30.75" customHeight="1">
      <c r="A58" s="17" t="s">
        <v>180</v>
      </c>
      <c r="B58" s="21">
        <v>951</v>
      </c>
      <c r="C58" s="35" t="s">
        <v>140</v>
      </c>
      <c r="D58" s="35" t="s">
        <v>160</v>
      </c>
      <c r="E58" s="35" t="s">
        <v>803</v>
      </c>
      <c r="F58" s="35" t="s">
        <v>149</v>
      </c>
      <c r="G58" s="83">
        <f t="shared" si="1"/>
        <v>53.398509999999995</v>
      </c>
      <c r="H58" s="83">
        <f>H59</f>
        <v>0</v>
      </c>
      <c r="I58" s="83">
        <f>I59</f>
        <v>53.398509999999995</v>
      </c>
    </row>
    <row r="59" spans="1:9" ht="41.25">
      <c r="A59" s="44" t="s">
        <v>181</v>
      </c>
      <c r="B59" s="21">
        <v>951</v>
      </c>
      <c r="C59" s="35" t="s">
        <v>140</v>
      </c>
      <c r="D59" s="35" t="s">
        <v>160</v>
      </c>
      <c r="E59" s="35" t="s">
        <v>803</v>
      </c>
      <c r="F59" s="35" t="s">
        <v>182</v>
      </c>
      <c r="G59" s="83">
        <f t="shared" si="1"/>
        <v>53.398509999999995</v>
      </c>
      <c r="H59" s="83"/>
      <c r="I59" s="83">
        <f>47.355+6.04351</f>
        <v>53.398509999999995</v>
      </c>
    </row>
    <row r="60" spans="1:11" ht="87.75" customHeight="1">
      <c r="A60" s="17" t="s">
        <v>15</v>
      </c>
      <c r="B60" s="21">
        <v>951</v>
      </c>
      <c r="C60" s="35" t="s">
        <v>140</v>
      </c>
      <c r="D60" s="35" t="s">
        <v>160</v>
      </c>
      <c r="E60" s="35" t="s">
        <v>305</v>
      </c>
      <c r="F60" s="35" t="s">
        <v>391</v>
      </c>
      <c r="G60" s="83">
        <f t="shared" si="1"/>
        <v>1395.192</v>
      </c>
      <c r="H60" s="83">
        <f>H61+H63</f>
        <v>0</v>
      </c>
      <c r="I60" s="83">
        <f>I61+I63</f>
        <v>1395.192</v>
      </c>
      <c r="J60" s="141"/>
      <c r="K60" s="205"/>
    </row>
    <row r="61" spans="1:9" ht="75" customHeight="1">
      <c r="A61" s="17" t="s">
        <v>177</v>
      </c>
      <c r="B61" s="21">
        <v>951</v>
      </c>
      <c r="C61" s="35" t="s">
        <v>140</v>
      </c>
      <c r="D61" s="35" t="s">
        <v>160</v>
      </c>
      <c r="E61" s="35" t="s">
        <v>305</v>
      </c>
      <c r="F61" s="35" t="s">
        <v>145</v>
      </c>
      <c r="G61" s="83">
        <f t="shared" si="1"/>
        <v>1245.88467</v>
      </c>
      <c r="H61" s="83">
        <f>H62</f>
        <v>0</v>
      </c>
      <c r="I61" s="83">
        <f>I62</f>
        <v>1245.88467</v>
      </c>
    </row>
    <row r="62" spans="1:9" ht="27">
      <c r="A62" s="44" t="s">
        <v>179</v>
      </c>
      <c r="B62" s="21">
        <v>951</v>
      </c>
      <c r="C62" s="35" t="s">
        <v>140</v>
      </c>
      <c r="D62" s="35" t="s">
        <v>160</v>
      </c>
      <c r="E62" s="35" t="s">
        <v>305</v>
      </c>
      <c r="F62" s="35" t="s">
        <v>178</v>
      </c>
      <c r="G62" s="83">
        <f t="shared" si="1"/>
        <v>1245.88467</v>
      </c>
      <c r="H62" s="83"/>
      <c r="I62" s="83">
        <f>1242.908+2.97667</f>
        <v>1245.88467</v>
      </c>
    </row>
    <row r="63" spans="1:9" ht="27">
      <c r="A63" s="17" t="s">
        <v>180</v>
      </c>
      <c r="B63" s="21">
        <v>951</v>
      </c>
      <c r="C63" s="35" t="s">
        <v>140</v>
      </c>
      <c r="D63" s="35" t="s">
        <v>160</v>
      </c>
      <c r="E63" s="35" t="s">
        <v>305</v>
      </c>
      <c r="F63" s="35" t="s">
        <v>149</v>
      </c>
      <c r="G63" s="83">
        <f t="shared" si="1"/>
        <v>149.30732999999998</v>
      </c>
      <c r="H63" s="83">
        <f>H64</f>
        <v>0</v>
      </c>
      <c r="I63" s="83">
        <f>I64</f>
        <v>149.30732999999998</v>
      </c>
    </row>
    <row r="64" spans="1:9" ht="41.25">
      <c r="A64" s="44" t="s">
        <v>181</v>
      </c>
      <c r="B64" s="21">
        <v>951</v>
      </c>
      <c r="C64" s="35" t="s">
        <v>140</v>
      </c>
      <c r="D64" s="35" t="s">
        <v>160</v>
      </c>
      <c r="E64" s="35" t="s">
        <v>305</v>
      </c>
      <c r="F64" s="35" t="s">
        <v>182</v>
      </c>
      <c r="G64" s="83">
        <f t="shared" si="1"/>
        <v>149.30732999999998</v>
      </c>
      <c r="H64" s="83"/>
      <c r="I64" s="83">
        <f>118.254+34.03-2.97667</f>
        <v>149.30732999999998</v>
      </c>
    </row>
    <row r="65" spans="1:9" ht="57.75" customHeight="1">
      <c r="A65" s="54" t="s">
        <v>863</v>
      </c>
      <c r="B65" s="72">
        <v>951</v>
      </c>
      <c r="C65" s="57" t="s">
        <v>140</v>
      </c>
      <c r="D65" s="57" t="s">
        <v>160</v>
      </c>
      <c r="E65" s="57" t="s">
        <v>864</v>
      </c>
      <c r="F65" s="57" t="s">
        <v>391</v>
      </c>
      <c r="G65" s="92">
        <f>H65+I65</f>
        <v>272.232</v>
      </c>
      <c r="H65" s="92"/>
      <c r="I65" s="92">
        <f>I66</f>
        <v>272.232</v>
      </c>
    </row>
    <row r="66" spans="1:9" ht="27">
      <c r="A66" s="17" t="s">
        <v>180</v>
      </c>
      <c r="B66" s="21">
        <v>951</v>
      </c>
      <c r="C66" s="35" t="s">
        <v>140</v>
      </c>
      <c r="D66" s="35" t="s">
        <v>160</v>
      </c>
      <c r="E66" s="35" t="s">
        <v>864</v>
      </c>
      <c r="F66" s="35" t="s">
        <v>149</v>
      </c>
      <c r="G66" s="83">
        <f>H66+I66</f>
        <v>272.232</v>
      </c>
      <c r="H66" s="83"/>
      <c r="I66" s="83">
        <f>I67</f>
        <v>272.232</v>
      </c>
    </row>
    <row r="67" spans="1:9" ht="41.25">
      <c r="A67" s="44" t="s">
        <v>181</v>
      </c>
      <c r="B67" s="21">
        <v>951</v>
      </c>
      <c r="C67" s="35" t="s">
        <v>140</v>
      </c>
      <c r="D67" s="35" t="s">
        <v>160</v>
      </c>
      <c r="E67" s="35" t="s">
        <v>864</v>
      </c>
      <c r="F67" s="35" t="s">
        <v>182</v>
      </c>
      <c r="G67" s="83">
        <f>H67+I67</f>
        <v>272.232</v>
      </c>
      <c r="H67" s="83"/>
      <c r="I67" s="83">
        <v>272.232</v>
      </c>
    </row>
    <row r="68" spans="1:9" s="296" customFormat="1" ht="28.5">
      <c r="A68" s="70" t="s">
        <v>802</v>
      </c>
      <c r="B68" s="85">
        <v>951</v>
      </c>
      <c r="C68" s="71" t="s">
        <v>140</v>
      </c>
      <c r="D68" s="71" t="s">
        <v>160</v>
      </c>
      <c r="E68" s="71" t="s">
        <v>804</v>
      </c>
      <c r="F68" s="71" t="s">
        <v>391</v>
      </c>
      <c r="G68" s="86">
        <f>H68+I68</f>
        <v>307.152</v>
      </c>
      <c r="H68" s="216">
        <f>H69</f>
        <v>0</v>
      </c>
      <c r="I68" s="86">
        <f>I69</f>
        <v>307.152</v>
      </c>
    </row>
    <row r="69" spans="1:9" ht="41.25">
      <c r="A69" s="44" t="s">
        <v>181</v>
      </c>
      <c r="B69" s="21">
        <v>951</v>
      </c>
      <c r="C69" s="35" t="s">
        <v>140</v>
      </c>
      <c r="D69" s="35" t="s">
        <v>160</v>
      </c>
      <c r="E69" s="35" t="s">
        <v>804</v>
      </c>
      <c r="F69" s="35" t="s">
        <v>182</v>
      </c>
      <c r="G69" s="83">
        <f t="shared" si="1"/>
        <v>307.152</v>
      </c>
      <c r="H69" s="108">
        <v>0</v>
      </c>
      <c r="I69" s="83">
        <v>307.152</v>
      </c>
    </row>
    <row r="70" spans="1:9" ht="54.75" hidden="1">
      <c r="A70" s="69" t="s">
        <v>414</v>
      </c>
      <c r="B70" s="21">
        <v>951</v>
      </c>
      <c r="C70" s="35" t="s">
        <v>140</v>
      </c>
      <c r="D70" s="35" t="s">
        <v>160</v>
      </c>
      <c r="E70" s="57" t="s">
        <v>25</v>
      </c>
      <c r="F70" s="57" t="s">
        <v>391</v>
      </c>
      <c r="G70" s="92">
        <f aca="true" t="shared" si="5" ref="G70:G76">H70+I70</f>
        <v>0</v>
      </c>
      <c r="H70" s="117">
        <f>H71+H72</f>
        <v>0</v>
      </c>
      <c r="I70" s="117">
        <f>I71+I72</f>
        <v>0</v>
      </c>
    </row>
    <row r="71" spans="1:9" ht="69" hidden="1">
      <c r="A71" s="96" t="s">
        <v>125</v>
      </c>
      <c r="B71" s="21">
        <v>951</v>
      </c>
      <c r="C71" s="35" t="s">
        <v>140</v>
      </c>
      <c r="D71" s="35" t="s">
        <v>160</v>
      </c>
      <c r="E71" s="35" t="s">
        <v>443</v>
      </c>
      <c r="F71" s="35" t="s">
        <v>119</v>
      </c>
      <c r="G71" s="83">
        <f t="shared" si="5"/>
        <v>0</v>
      </c>
      <c r="H71" s="83"/>
      <c r="I71" s="83"/>
    </row>
    <row r="72" spans="1:9" ht="69" hidden="1">
      <c r="A72" s="97" t="s">
        <v>120</v>
      </c>
      <c r="B72" s="21">
        <v>951</v>
      </c>
      <c r="C72" s="35" t="s">
        <v>140</v>
      </c>
      <c r="D72" s="35" t="s">
        <v>160</v>
      </c>
      <c r="E72" s="35" t="s">
        <v>94</v>
      </c>
      <c r="F72" s="35" t="s">
        <v>119</v>
      </c>
      <c r="G72" s="83">
        <f t="shared" si="5"/>
        <v>0</v>
      </c>
      <c r="H72" s="83"/>
      <c r="I72" s="83"/>
    </row>
    <row r="73" spans="1:9" s="104" customFormat="1" ht="54.75" hidden="1">
      <c r="A73" s="53" t="s">
        <v>755</v>
      </c>
      <c r="B73" s="21">
        <v>951</v>
      </c>
      <c r="C73" s="57" t="s">
        <v>140</v>
      </c>
      <c r="D73" s="57" t="s">
        <v>160</v>
      </c>
      <c r="E73" s="57" t="s">
        <v>756</v>
      </c>
      <c r="F73" s="57" t="s">
        <v>391</v>
      </c>
      <c r="G73" s="92">
        <f t="shared" si="5"/>
        <v>0</v>
      </c>
      <c r="H73" s="92"/>
      <c r="I73" s="92">
        <f>I74</f>
        <v>0</v>
      </c>
    </row>
    <row r="74" spans="1:9" ht="82.5" hidden="1">
      <c r="A74" s="17" t="s">
        <v>177</v>
      </c>
      <c r="B74" s="21">
        <v>951</v>
      </c>
      <c r="C74" s="35" t="s">
        <v>140</v>
      </c>
      <c r="D74" s="35" t="s">
        <v>160</v>
      </c>
      <c r="E74" s="35" t="s">
        <v>756</v>
      </c>
      <c r="F74" s="35" t="s">
        <v>145</v>
      </c>
      <c r="G74" s="83">
        <f t="shared" si="5"/>
        <v>0</v>
      </c>
      <c r="H74" s="83"/>
      <c r="I74" s="83">
        <f>I75</f>
        <v>0</v>
      </c>
    </row>
    <row r="75" spans="1:9" ht="27" hidden="1">
      <c r="A75" s="44" t="s">
        <v>179</v>
      </c>
      <c r="B75" s="21">
        <v>951</v>
      </c>
      <c r="C75" s="35" t="s">
        <v>140</v>
      </c>
      <c r="D75" s="35" t="s">
        <v>160</v>
      </c>
      <c r="E75" s="35" t="s">
        <v>756</v>
      </c>
      <c r="F75" s="35" t="s">
        <v>178</v>
      </c>
      <c r="G75" s="83">
        <f t="shared" si="5"/>
        <v>0</v>
      </c>
      <c r="H75" s="83">
        <v>0</v>
      </c>
      <c r="I75" s="83">
        <v>0</v>
      </c>
    </row>
    <row r="76" spans="1:11" ht="28.5">
      <c r="A76" s="73" t="s">
        <v>143</v>
      </c>
      <c r="B76" s="21">
        <v>951</v>
      </c>
      <c r="C76" s="35" t="s">
        <v>140</v>
      </c>
      <c r="D76" s="35" t="s">
        <v>160</v>
      </c>
      <c r="E76" s="35" t="s">
        <v>8</v>
      </c>
      <c r="F76" s="35" t="s">
        <v>391</v>
      </c>
      <c r="G76" s="83">
        <f t="shared" si="5"/>
        <v>4394.56535</v>
      </c>
      <c r="H76" s="83">
        <f>H77</f>
        <v>4394.56535</v>
      </c>
      <c r="I76" s="83">
        <f>I77</f>
        <v>0</v>
      </c>
      <c r="K76" s="82"/>
    </row>
    <row r="77" spans="1:9" ht="42" customHeight="1">
      <c r="A77" s="17" t="s">
        <v>144</v>
      </c>
      <c r="B77" s="21">
        <v>951</v>
      </c>
      <c r="C77" s="35" t="s">
        <v>140</v>
      </c>
      <c r="D77" s="35" t="s">
        <v>160</v>
      </c>
      <c r="E77" s="35" t="s">
        <v>9</v>
      </c>
      <c r="F77" s="35" t="s">
        <v>391</v>
      </c>
      <c r="G77" s="83">
        <f t="shared" si="1"/>
        <v>4394.56535</v>
      </c>
      <c r="H77" s="83">
        <f>H78+H83+H106+H109</f>
        <v>4394.56535</v>
      </c>
      <c r="I77" s="83">
        <f>I78</f>
        <v>0</v>
      </c>
    </row>
    <row r="78" spans="1:11" ht="45" customHeight="1">
      <c r="A78" s="17" t="s">
        <v>535</v>
      </c>
      <c r="B78" s="21">
        <v>951</v>
      </c>
      <c r="C78" s="35" t="s">
        <v>140</v>
      </c>
      <c r="D78" s="35" t="s">
        <v>160</v>
      </c>
      <c r="E78" s="35" t="s">
        <v>12</v>
      </c>
      <c r="F78" s="35" t="s">
        <v>391</v>
      </c>
      <c r="G78" s="83">
        <f t="shared" si="1"/>
        <v>3907.82</v>
      </c>
      <c r="H78" s="83">
        <f>H79+H81</f>
        <v>3907.82</v>
      </c>
      <c r="I78" s="83">
        <f>I79+I81</f>
        <v>0</v>
      </c>
      <c r="K78" s="82"/>
    </row>
    <row r="79" spans="1:9" ht="81.75" customHeight="1">
      <c r="A79" s="17" t="s">
        <v>177</v>
      </c>
      <c r="B79" s="21">
        <v>951</v>
      </c>
      <c r="C79" s="35" t="s">
        <v>140</v>
      </c>
      <c r="D79" s="35" t="s">
        <v>160</v>
      </c>
      <c r="E79" s="35" t="s">
        <v>12</v>
      </c>
      <c r="F79" s="35" t="s">
        <v>145</v>
      </c>
      <c r="G79" s="83">
        <f t="shared" si="1"/>
        <v>3754.7200000000003</v>
      </c>
      <c r="H79" s="83">
        <f>H80</f>
        <v>3754.7200000000003</v>
      </c>
      <c r="I79" s="83">
        <f>I80</f>
        <v>0</v>
      </c>
    </row>
    <row r="80" spans="1:9" ht="27">
      <c r="A80" s="44" t="s">
        <v>179</v>
      </c>
      <c r="B80" s="21">
        <v>951</v>
      </c>
      <c r="C80" s="35" t="s">
        <v>140</v>
      </c>
      <c r="D80" s="35" t="s">
        <v>160</v>
      </c>
      <c r="E80" s="35" t="s">
        <v>12</v>
      </c>
      <c r="F80" s="35" t="s">
        <v>178</v>
      </c>
      <c r="G80" s="83">
        <f t="shared" si="1"/>
        <v>3754.7200000000003</v>
      </c>
      <c r="H80" s="83">
        <f>3025.9+55+913.82-240</f>
        <v>3754.7200000000003</v>
      </c>
      <c r="I80" s="83"/>
    </row>
    <row r="81" spans="1:9" ht="27">
      <c r="A81" s="17" t="s">
        <v>180</v>
      </c>
      <c r="B81" s="21">
        <v>951</v>
      </c>
      <c r="C81" s="35" t="s">
        <v>140</v>
      </c>
      <c r="D81" s="35" t="s">
        <v>160</v>
      </c>
      <c r="E81" s="35" t="s">
        <v>12</v>
      </c>
      <c r="F81" s="35" t="s">
        <v>149</v>
      </c>
      <c r="G81" s="83">
        <f t="shared" si="1"/>
        <v>153.10000000000008</v>
      </c>
      <c r="H81" s="83">
        <f>H82</f>
        <v>153.10000000000008</v>
      </c>
      <c r="I81" s="83">
        <f>I82</f>
        <v>0</v>
      </c>
    </row>
    <row r="82" spans="1:9" ht="42.75" customHeight="1">
      <c r="A82" s="44" t="s">
        <v>181</v>
      </c>
      <c r="B82" s="21">
        <v>951</v>
      </c>
      <c r="C82" s="35" t="s">
        <v>140</v>
      </c>
      <c r="D82" s="35" t="s">
        <v>160</v>
      </c>
      <c r="E82" s="35" t="s">
        <v>12</v>
      </c>
      <c r="F82" s="35" t="s">
        <v>182</v>
      </c>
      <c r="G82" s="83">
        <f t="shared" si="1"/>
        <v>153.10000000000008</v>
      </c>
      <c r="H82" s="83">
        <f>4080.62-3994.72+19.2+48</f>
        <v>153.10000000000008</v>
      </c>
      <c r="I82" s="83"/>
    </row>
    <row r="83" spans="1:9" ht="13.5">
      <c r="A83" s="53" t="s">
        <v>189</v>
      </c>
      <c r="B83" s="72">
        <v>951</v>
      </c>
      <c r="C83" s="57" t="s">
        <v>140</v>
      </c>
      <c r="D83" s="57" t="s">
        <v>160</v>
      </c>
      <c r="E83" s="57" t="s">
        <v>16</v>
      </c>
      <c r="F83" s="57" t="s">
        <v>391</v>
      </c>
      <c r="G83" s="92">
        <f t="shared" si="1"/>
        <v>105</v>
      </c>
      <c r="H83" s="92">
        <f>H84</f>
        <v>105</v>
      </c>
      <c r="I83" s="92"/>
    </row>
    <row r="84" spans="1:9" ht="13.5">
      <c r="A84" s="17" t="s">
        <v>185</v>
      </c>
      <c r="B84" s="21">
        <v>951</v>
      </c>
      <c r="C84" s="35" t="s">
        <v>140</v>
      </c>
      <c r="D84" s="35" t="s">
        <v>160</v>
      </c>
      <c r="E84" s="35" t="s">
        <v>16</v>
      </c>
      <c r="F84" s="35" t="s">
        <v>186</v>
      </c>
      <c r="G84" s="83">
        <f t="shared" si="1"/>
        <v>105</v>
      </c>
      <c r="H84" s="83">
        <f>H85</f>
        <v>105</v>
      </c>
      <c r="I84" s="83"/>
    </row>
    <row r="85" spans="1:9" ht="13.5">
      <c r="A85" s="17" t="s">
        <v>189</v>
      </c>
      <c r="B85" s="21">
        <v>951</v>
      </c>
      <c r="C85" s="35" t="s">
        <v>140</v>
      </c>
      <c r="D85" s="35" t="s">
        <v>160</v>
      </c>
      <c r="E85" s="35" t="s">
        <v>16</v>
      </c>
      <c r="F85" s="35" t="s">
        <v>190</v>
      </c>
      <c r="G85" s="83">
        <f t="shared" si="1"/>
        <v>105</v>
      </c>
      <c r="H85" s="83">
        <f>2+25+78</f>
        <v>105</v>
      </c>
      <c r="I85" s="83"/>
    </row>
    <row r="86" spans="1:9" ht="41.25">
      <c r="A86" s="53" t="s">
        <v>351</v>
      </c>
      <c r="B86" s="72">
        <v>951</v>
      </c>
      <c r="C86" s="57" t="s">
        <v>140</v>
      </c>
      <c r="D86" s="57" t="s">
        <v>160</v>
      </c>
      <c r="E86" s="57" t="s">
        <v>17</v>
      </c>
      <c r="F86" s="57" t="s">
        <v>391</v>
      </c>
      <c r="G86" s="92">
        <f t="shared" si="1"/>
        <v>453</v>
      </c>
      <c r="H86" s="92">
        <f>H87</f>
        <v>453</v>
      </c>
      <c r="I86" s="92">
        <f>I87</f>
        <v>0</v>
      </c>
    </row>
    <row r="87" spans="1:9" ht="27">
      <c r="A87" s="17" t="s">
        <v>180</v>
      </c>
      <c r="B87" s="21">
        <v>951</v>
      </c>
      <c r="C87" s="35" t="s">
        <v>140</v>
      </c>
      <c r="D87" s="35" t="s">
        <v>160</v>
      </c>
      <c r="E87" s="35" t="s">
        <v>17</v>
      </c>
      <c r="F87" s="35" t="s">
        <v>149</v>
      </c>
      <c r="G87" s="83">
        <f t="shared" si="1"/>
        <v>453</v>
      </c>
      <c r="H87" s="83">
        <f>H88</f>
        <v>453</v>
      </c>
      <c r="I87" s="83">
        <f>I88</f>
        <v>0</v>
      </c>
    </row>
    <row r="88" spans="1:9" ht="41.25">
      <c r="A88" s="44" t="s">
        <v>181</v>
      </c>
      <c r="B88" s="21">
        <v>951</v>
      </c>
      <c r="C88" s="35" t="s">
        <v>140</v>
      </c>
      <c r="D88" s="35" t="s">
        <v>160</v>
      </c>
      <c r="E88" s="35" t="s">
        <v>17</v>
      </c>
      <c r="F88" s="35" t="s">
        <v>182</v>
      </c>
      <c r="G88" s="83">
        <f t="shared" si="1"/>
        <v>453</v>
      </c>
      <c r="H88" s="83">
        <f>430+320-25-272</f>
        <v>453</v>
      </c>
      <c r="I88" s="83"/>
    </row>
    <row r="89" spans="1:9" ht="13.5">
      <c r="A89" s="54" t="s">
        <v>492</v>
      </c>
      <c r="B89" s="72" t="s">
        <v>169</v>
      </c>
      <c r="C89" s="57" t="s">
        <v>140</v>
      </c>
      <c r="D89" s="57" t="s">
        <v>160</v>
      </c>
      <c r="E89" s="57" t="s">
        <v>493</v>
      </c>
      <c r="F89" s="57" t="s">
        <v>391</v>
      </c>
      <c r="G89" s="92">
        <f aca="true" t="shared" si="6" ref="G89:G98">H89</f>
        <v>1049.8870100000001</v>
      </c>
      <c r="H89" s="92">
        <f>H90+H92</f>
        <v>1049.8870100000001</v>
      </c>
      <c r="I89" s="92"/>
    </row>
    <row r="90" spans="1:9" ht="27">
      <c r="A90" s="17" t="s">
        <v>180</v>
      </c>
      <c r="B90" s="21" t="s">
        <v>169</v>
      </c>
      <c r="C90" s="35" t="s">
        <v>140</v>
      </c>
      <c r="D90" s="35" t="s">
        <v>160</v>
      </c>
      <c r="E90" s="35" t="s">
        <v>493</v>
      </c>
      <c r="F90" s="35" t="s">
        <v>149</v>
      </c>
      <c r="G90" s="83">
        <f t="shared" si="6"/>
        <v>1049.8870100000001</v>
      </c>
      <c r="H90" s="83">
        <f>H91</f>
        <v>1049.8870100000001</v>
      </c>
      <c r="I90" s="83"/>
    </row>
    <row r="91" spans="1:9" ht="41.25">
      <c r="A91" s="44" t="s">
        <v>181</v>
      </c>
      <c r="B91" s="21" t="s">
        <v>169</v>
      </c>
      <c r="C91" s="35" t="s">
        <v>140</v>
      </c>
      <c r="D91" s="35" t="s">
        <v>160</v>
      </c>
      <c r="E91" s="35" t="s">
        <v>493</v>
      </c>
      <c r="F91" s="35" t="s">
        <v>182</v>
      </c>
      <c r="G91" s="83">
        <f t="shared" si="6"/>
        <v>1049.8870100000001</v>
      </c>
      <c r="H91" s="83">
        <f>1402.9-504.6-2+138.78701-13.7+28.5</f>
        <v>1049.8870100000001</v>
      </c>
      <c r="I91" s="83"/>
    </row>
    <row r="92" spans="1:9" ht="13.5" hidden="1">
      <c r="A92" s="17" t="s">
        <v>185</v>
      </c>
      <c r="B92" s="21" t="s">
        <v>169</v>
      </c>
      <c r="C92" s="35" t="s">
        <v>140</v>
      </c>
      <c r="D92" s="35" t="s">
        <v>160</v>
      </c>
      <c r="E92" s="35" t="s">
        <v>493</v>
      </c>
      <c r="F92" s="35" t="s">
        <v>186</v>
      </c>
      <c r="G92" s="83">
        <f t="shared" si="6"/>
        <v>0</v>
      </c>
      <c r="H92" s="83">
        <f>H93</f>
        <v>0</v>
      </c>
      <c r="I92" s="83"/>
    </row>
    <row r="93" spans="1:9" ht="13.5" hidden="1">
      <c r="A93" s="36" t="s">
        <v>183</v>
      </c>
      <c r="B93" s="21" t="s">
        <v>169</v>
      </c>
      <c r="C93" s="35" t="s">
        <v>140</v>
      </c>
      <c r="D93" s="35" t="s">
        <v>160</v>
      </c>
      <c r="E93" s="35" t="s">
        <v>493</v>
      </c>
      <c r="F93" s="35" t="s">
        <v>184</v>
      </c>
      <c r="G93" s="83">
        <f t="shared" si="6"/>
        <v>0</v>
      </c>
      <c r="H93" s="83"/>
      <c r="I93" s="83"/>
    </row>
    <row r="94" spans="1:9" ht="13.5" hidden="1">
      <c r="A94" s="98" t="s">
        <v>521</v>
      </c>
      <c r="B94" s="72" t="s">
        <v>169</v>
      </c>
      <c r="C94" s="57" t="s">
        <v>140</v>
      </c>
      <c r="D94" s="57" t="s">
        <v>160</v>
      </c>
      <c r="E94" s="57" t="s">
        <v>522</v>
      </c>
      <c r="F94" s="57" t="s">
        <v>391</v>
      </c>
      <c r="G94" s="92">
        <f t="shared" si="6"/>
        <v>0</v>
      </c>
      <c r="H94" s="92">
        <f>H95+H97</f>
        <v>0</v>
      </c>
      <c r="I94" s="92"/>
    </row>
    <row r="95" spans="1:9" ht="27" hidden="1">
      <c r="A95" s="17" t="s">
        <v>180</v>
      </c>
      <c r="B95" s="21" t="s">
        <v>169</v>
      </c>
      <c r="C95" s="35" t="s">
        <v>140</v>
      </c>
      <c r="D95" s="35" t="s">
        <v>160</v>
      </c>
      <c r="E95" s="35" t="s">
        <v>522</v>
      </c>
      <c r="F95" s="35" t="s">
        <v>149</v>
      </c>
      <c r="G95" s="83">
        <f t="shared" si="6"/>
        <v>0</v>
      </c>
      <c r="H95" s="83">
        <f>H96</f>
        <v>0</v>
      </c>
      <c r="I95" s="92"/>
    </row>
    <row r="96" spans="1:9" ht="41.25" hidden="1">
      <c r="A96" s="44" t="s">
        <v>181</v>
      </c>
      <c r="B96" s="21" t="s">
        <v>169</v>
      </c>
      <c r="C96" s="35" t="s">
        <v>140</v>
      </c>
      <c r="D96" s="35" t="s">
        <v>160</v>
      </c>
      <c r="E96" s="35" t="s">
        <v>522</v>
      </c>
      <c r="F96" s="35" t="s">
        <v>182</v>
      </c>
      <c r="G96" s="83">
        <f t="shared" si="6"/>
        <v>0</v>
      </c>
      <c r="H96" s="83"/>
      <c r="I96" s="83"/>
    </row>
    <row r="97" spans="1:9" ht="13.5" hidden="1">
      <c r="A97" s="17" t="s">
        <v>185</v>
      </c>
      <c r="B97" s="21" t="s">
        <v>169</v>
      </c>
      <c r="C97" s="35" t="s">
        <v>140</v>
      </c>
      <c r="D97" s="35" t="s">
        <v>160</v>
      </c>
      <c r="E97" s="35" t="s">
        <v>522</v>
      </c>
      <c r="F97" s="35" t="s">
        <v>186</v>
      </c>
      <c r="G97" s="83">
        <f t="shared" si="6"/>
        <v>0</v>
      </c>
      <c r="H97" s="83">
        <f>H98</f>
        <v>0</v>
      </c>
      <c r="I97" s="83"/>
    </row>
    <row r="98" spans="1:9" ht="13.5" hidden="1">
      <c r="A98" s="36" t="s">
        <v>183</v>
      </c>
      <c r="B98" s="21" t="s">
        <v>169</v>
      </c>
      <c r="C98" s="35" t="s">
        <v>140</v>
      </c>
      <c r="D98" s="35" t="s">
        <v>160</v>
      </c>
      <c r="E98" s="35" t="s">
        <v>522</v>
      </c>
      <c r="F98" s="35" t="s">
        <v>184</v>
      </c>
      <c r="G98" s="83">
        <f t="shared" si="6"/>
        <v>0</v>
      </c>
      <c r="H98" s="83"/>
      <c r="I98" s="83"/>
    </row>
    <row r="99" spans="1:9" ht="60.75" customHeight="1">
      <c r="A99" s="70" t="s">
        <v>536</v>
      </c>
      <c r="B99" s="85" t="s">
        <v>169</v>
      </c>
      <c r="C99" s="71" t="s">
        <v>140</v>
      </c>
      <c r="D99" s="71" t="s">
        <v>160</v>
      </c>
      <c r="E99" s="71" t="s">
        <v>304</v>
      </c>
      <c r="F99" s="71" t="s">
        <v>391</v>
      </c>
      <c r="G99" s="86">
        <f>H99+I99</f>
        <v>858.5968</v>
      </c>
      <c r="H99" s="86">
        <v>0</v>
      </c>
      <c r="I99" s="86">
        <f>I100</f>
        <v>858.5968</v>
      </c>
    </row>
    <row r="100" spans="1:9" ht="27">
      <c r="A100" s="17" t="s">
        <v>483</v>
      </c>
      <c r="B100" s="21" t="s">
        <v>169</v>
      </c>
      <c r="C100" s="35" t="s">
        <v>140</v>
      </c>
      <c r="D100" s="35" t="s">
        <v>160</v>
      </c>
      <c r="E100" s="35" t="s">
        <v>8</v>
      </c>
      <c r="F100" s="35" t="s">
        <v>391</v>
      </c>
      <c r="G100" s="83">
        <f aca="true" t="shared" si="7" ref="G100:G108">H100+I100</f>
        <v>858.5968</v>
      </c>
      <c r="H100" s="83"/>
      <c r="I100" s="83">
        <f>I101</f>
        <v>858.5968</v>
      </c>
    </row>
    <row r="101" spans="1:11" ht="41.25">
      <c r="A101" s="17" t="s">
        <v>144</v>
      </c>
      <c r="B101" s="21" t="s">
        <v>169</v>
      </c>
      <c r="C101" s="35" t="s">
        <v>140</v>
      </c>
      <c r="D101" s="35" t="s">
        <v>160</v>
      </c>
      <c r="E101" s="35" t="s">
        <v>9</v>
      </c>
      <c r="F101" s="35" t="s">
        <v>391</v>
      </c>
      <c r="G101" s="83">
        <f t="shared" si="7"/>
        <v>858.5968</v>
      </c>
      <c r="H101" s="83"/>
      <c r="I101" s="83">
        <f>I102+I104</f>
        <v>858.5968</v>
      </c>
      <c r="J101" s="297"/>
      <c r="K101" s="205"/>
    </row>
    <row r="102" spans="1:9" ht="82.5">
      <c r="A102" s="17" t="s">
        <v>177</v>
      </c>
      <c r="B102" s="21" t="s">
        <v>169</v>
      </c>
      <c r="C102" s="35" t="s">
        <v>140</v>
      </c>
      <c r="D102" s="35" t="s">
        <v>160</v>
      </c>
      <c r="E102" s="35" t="s">
        <v>537</v>
      </c>
      <c r="F102" s="35" t="s">
        <v>145</v>
      </c>
      <c r="G102" s="83">
        <f t="shared" si="7"/>
        <v>638.26269</v>
      </c>
      <c r="H102" s="83">
        <v>0</v>
      </c>
      <c r="I102" s="83">
        <f>I103</f>
        <v>638.26269</v>
      </c>
    </row>
    <row r="103" spans="1:9" ht="27">
      <c r="A103" s="17" t="s">
        <v>179</v>
      </c>
      <c r="B103" s="21" t="s">
        <v>169</v>
      </c>
      <c r="C103" s="35" t="s">
        <v>140</v>
      </c>
      <c r="D103" s="35" t="s">
        <v>160</v>
      </c>
      <c r="E103" s="35" t="s">
        <v>537</v>
      </c>
      <c r="F103" s="35" t="s">
        <v>178</v>
      </c>
      <c r="G103" s="83">
        <f t="shared" si="7"/>
        <v>638.26269</v>
      </c>
      <c r="H103" s="83"/>
      <c r="I103" s="83">
        <f>843.033-33.84307-170.92724</f>
        <v>638.26269</v>
      </c>
    </row>
    <row r="104" spans="1:9" ht="27">
      <c r="A104" s="17" t="s">
        <v>180</v>
      </c>
      <c r="B104" s="21" t="s">
        <v>169</v>
      </c>
      <c r="C104" s="35" t="s">
        <v>140</v>
      </c>
      <c r="D104" s="35" t="s">
        <v>160</v>
      </c>
      <c r="E104" s="35" t="s">
        <v>537</v>
      </c>
      <c r="F104" s="35" t="s">
        <v>149</v>
      </c>
      <c r="G104" s="83">
        <f t="shared" si="7"/>
        <v>220.33411</v>
      </c>
      <c r="H104" s="83">
        <v>0</v>
      </c>
      <c r="I104" s="83">
        <f>I105</f>
        <v>220.33411</v>
      </c>
    </row>
    <row r="105" spans="1:9" ht="41.25">
      <c r="A105" s="44" t="s">
        <v>181</v>
      </c>
      <c r="B105" s="21" t="s">
        <v>169</v>
      </c>
      <c r="C105" s="35" t="s">
        <v>140</v>
      </c>
      <c r="D105" s="35" t="s">
        <v>160</v>
      </c>
      <c r="E105" s="35" t="s">
        <v>537</v>
      </c>
      <c r="F105" s="35" t="s">
        <v>182</v>
      </c>
      <c r="G105" s="83">
        <f t="shared" si="7"/>
        <v>220.33411</v>
      </c>
      <c r="H105" s="83"/>
      <c r="I105" s="83">
        <f>36.88687+12.52+170.92724</f>
        <v>220.33411</v>
      </c>
    </row>
    <row r="106" spans="1:9" ht="41.25">
      <c r="A106" s="54" t="s">
        <v>721</v>
      </c>
      <c r="B106" s="72" t="s">
        <v>169</v>
      </c>
      <c r="C106" s="57" t="s">
        <v>140</v>
      </c>
      <c r="D106" s="57" t="s">
        <v>160</v>
      </c>
      <c r="E106" s="57" t="s">
        <v>722</v>
      </c>
      <c r="F106" s="57" t="s">
        <v>391</v>
      </c>
      <c r="G106" s="92">
        <f t="shared" si="7"/>
        <v>159.17535</v>
      </c>
      <c r="H106" s="92">
        <f>H107</f>
        <v>159.17535</v>
      </c>
      <c r="I106" s="83"/>
    </row>
    <row r="107" spans="1:9" ht="27">
      <c r="A107" s="17" t="s">
        <v>180</v>
      </c>
      <c r="B107" s="21" t="s">
        <v>169</v>
      </c>
      <c r="C107" s="35" t="s">
        <v>140</v>
      </c>
      <c r="D107" s="35" t="s">
        <v>160</v>
      </c>
      <c r="E107" s="35" t="s">
        <v>722</v>
      </c>
      <c r="F107" s="35" t="s">
        <v>149</v>
      </c>
      <c r="G107" s="83">
        <f t="shared" si="7"/>
        <v>159.17535</v>
      </c>
      <c r="H107" s="83">
        <f>H108</f>
        <v>159.17535</v>
      </c>
      <c r="I107" s="83"/>
    </row>
    <row r="108" spans="1:9" ht="41.25">
      <c r="A108" s="44" t="s">
        <v>181</v>
      </c>
      <c r="B108" s="21" t="s">
        <v>169</v>
      </c>
      <c r="C108" s="35" t="s">
        <v>140</v>
      </c>
      <c r="D108" s="35" t="s">
        <v>160</v>
      </c>
      <c r="E108" s="35" t="s">
        <v>722</v>
      </c>
      <c r="F108" s="35" t="s">
        <v>182</v>
      </c>
      <c r="G108" s="83">
        <f t="shared" si="7"/>
        <v>159.17535</v>
      </c>
      <c r="H108" s="83">
        <f>11.45+24.964+25.292+6.497+16.526+16.045+27.55+20+5+20-14.14865</f>
        <v>159.17535</v>
      </c>
      <c r="I108" s="83"/>
    </row>
    <row r="109" spans="1:9" ht="28.5">
      <c r="A109" s="70" t="s">
        <v>877</v>
      </c>
      <c r="B109" s="85" t="s">
        <v>169</v>
      </c>
      <c r="C109" s="71" t="s">
        <v>140</v>
      </c>
      <c r="D109" s="71" t="s">
        <v>160</v>
      </c>
      <c r="E109" s="71" t="s">
        <v>878</v>
      </c>
      <c r="F109" s="71" t="s">
        <v>391</v>
      </c>
      <c r="G109" s="86">
        <f>H109+I109</f>
        <v>222.57000000000002</v>
      </c>
      <c r="H109" s="86">
        <f>H110</f>
        <v>222.57000000000002</v>
      </c>
      <c r="I109" s="86"/>
    </row>
    <row r="110" spans="1:9" ht="30" customHeight="1">
      <c r="A110" s="17" t="s">
        <v>180</v>
      </c>
      <c r="B110" s="21" t="s">
        <v>169</v>
      </c>
      <c r="C110" s="35" t="s">
        <v>140</v>
      </c>
      <c r="D110" s="35" t="s">
        <v>160</v>
      </c>
      <c r="E110" s="35" t="s">
        <v>878</v>
      </c>
      <c r="F110" s="35" t="s">
        <v>149</v>
      </c>
      <c r="G110" s="83">
        <f>H110+I110</f>
        <v>222.57000000000002</v>
      </c>
      <c r="H110" s="83">
        <f>H111</f>
        <v>222.57000000000002</v>
      </c>
      <c r="I110" s="83"/>
    </row>
    <row r="111" spans="1:9" ht="45" customHeight="1">
      <c r="A111" s="44" t="s">
        <v>181</v>
      </c>
      <c r="B111" s="21" t="s">
        <v>169</v>
      </c>
      <c r="C111" s="35" t="s">
        <v>140</v>
      </c>
      <c r="D111" s="35" t="s">
        <v>160</v>
      </c>
      <c r="E111" s="35" t="s">
        <v>878</v>
      </c>
      <c r="F111" s="35" t="s">
        <v>182</v>
      </c>
      <c r="G111" s="83">
        <f>H111+I111</f>
        <v>222.57000000000002</v>
      </c>
      <c r="H111" s="83">
        <f>9.24+213.33</f>
        <v>222.57000000000002</v>
      </c>
      <c r="I111" s="83"/>
    </row>
    <row r="112" spans="1:9" ht="41.25">
      <c r="A112" s="53" t="s">
        <v>452</v>
      </c>
      <c r="B112" s="72">
        <v>951</v>
      </c>
      <c r="C112" s="57" t="s">
        <v>140</v>
      </c>
      <c r="D112" s="57" t="s">
        <v>160</v>
      </c>
      <c r="E112" s="57" t="s">
        <v>26</v>
      </c>
      <c r="F112" s="57" t="s">
        <v>391</v>
      </c>
      <c r="G112" s="92">
        <f t="shared" si="1"/>
        <v>83</v>
      </c>
      <c r="H112" s="92">
        <f>H116+H124+H113+H127</f>
        <v>83</v>
      </c>
      <c r="I112" s="92">
        <f>I116</f>
        <v>0</v>
      </c>
    </row>
    <row r="113" spans="1:9" ht="27" hidden="1">
      <c r="A113" s="79" t="s">
        <v>28</v>
      </c>
      <c r="B113" s="72">
        <v>951</v>
      </c>
      <c r="C113" s="57" t="s">
        <v>140</v>
      </c>
      <c r="D113" s="57" t="s">
        <v>160</v>
      </c>
      <c r="E113" s="21" t="s">
        <v>27</v>
      </c>
      <c r="F113" s="35" t="s">
        <v>391</v>
      </c>
      <c r="G113" s="83">
        <f t="shared" si="1"/>
        <v>0</v>
      </c>
      <c r="H113" s="83">
        <f>H114</f>
        <v>0</v>
      </c>
      <c r="I113" s="83">
        <f>I114</f>
        <v>0</v>
      </c>
    </row>
    <row r="114" spans="1:9" ht="27" hidden="1">
      <c r="A114" s="17" t="s">
        <v>180</v>
      </c>
      <c r="B114" s="72">
        <v>951</v>
      </c>
      <c r="C114" s="57" t="s">
        <v>140</v>
      </c>
      <c r="D114" s="57" t="s">
        <v>160</v>
      </c>
      <c r="E114" s="21" t="s">
        <v>27</v>
      </c>
      <c r="F114" s="35" t="s">
        <v>149</v>
      </c>
      <c r="G114" s="83">
        <f t="shared" si="1"/>
        <v>0</v>
      </c>
      <c r="H114" s="83">
        <f>H115</f>
        <v>0</v>
      </c>
      <c r="I114" s="83">
        <f>I115</f>
        <v>0</v>
      </c>
    </row>
    <row r="115" spans="1:9" ht="41.25" hidden="1">
      <c r="A115" s="44" t="s">
        <v>181</v>
      </c>
      <c r="B115" s="72">
        <v>951</v>
      </c>
      <c r="C115" s="57" t="s">
        <v>140</v>
      </c>
      <c r="D115" s="57" t="s">
        <v>160</v>
      </c>
      <c r="E115" s="21" t="s">
        <v>27</v>
      </c>
      <c r="F115" s="35" t="s">
        <v>182</v>
      </c>
      <c r="G115" s="83">
        <f t="shared" si="1"/>
        <v>0</v>
      </c>
      <c r="H115" s="83"/>
      <c r="I115" s="83"/>
    </row>
    <row r="116" spans="1:9" ht="27">
      <c r="A116" s="135" t="s">
        <v>279</v>
      </c>
      <c r="B116" s="72">
        <v>951</v>
      </c>
      <c r="C116" s="57" t="s">
        <v>140</v>
      </c>
      <c r="D116" s="57" t="s">
        <v>160</v>
      </c>
      <c r="E116" s="21" t="s">
        <v>44</v>
      </c>
      <c r="F116" s="35" t="s">
        <v>391</v>
      </c>
      <c r="G116" s="83">
        <f>G117</f>
        <v>0</v>
      </c>
      <c r="H116" s="83">
        <f>H117</f>
        <v>0</v>
      </c>
      <c r="I116" s="83">
        <f>I117</f>
        <v>0</v>
      </c>
    </row>
    <row r="117" spans="1:9" ht="54.75" hidden="1">
      <c r="A117" s="53" t="s">
        <v>649</v>
      </c>
      <c r="B117" s="72">
        <v>951</v>
      </c>
      <c r="C117" s="57" t="s">
        <v>140</v>
      </c>
      <c r="D117" s="57" t="s">
        <v>160</v>
      </c>
      <c r="E117" s="57" t="s">
        <v>304</v>
      </c>
      <c r="F117" s="57" t="s">
        <v>391</v>
      </c>
      <c r="G117" s="92">
        <f>H117+I117</f>
        <v>0</v>
      </c>
      <c r="H117" s="92">
        <f>H121</f>
        <v>0</v>
      </c>
      <c r="I117" s="92">
        <f>I118</f>
        <v>0</v>
      </c>
    </row>
    <row r="118" spans="1:9" ht="69" hidden="1">
      <c r="A118" s="17" t="s">
        <v>670</v>
      </c>
      <c r="B118" s="21">
        <v>951</v>
      </c>
      <c r="C118" s="35" t="s">
        <v>140</v>
      </c>
      <c r="D118" s="35" t="s">
        <v>160</v>
      </c>
      <c r="E118" s="35" t="s">
        <v>655</v>
      </c>
      <c r="F118" s="35" t="s">
        <v>391</v>
      </c>
      <c r="G118" s="83">
        <f aca="true" t="shared" si="8" ref="G118:G123">H118+I118</f>
        <v>0</v>
      </c>
      <c r="H118" s="83"/>
      <c r="I118" s="83">
        <f>I119</f>
        <v>0</v>
      </c>
    </row>
    <row r="119" spans="1:9" ht="41.25" hidden="1">
      <c r="A119" s="44" t="s">
        <v>572</v>
      </c>
      <c r="B119" s="21">
        <v>951</v>
      </c>
      <c r="C119" s="35" t="s">
        <v>140</v>
      </c>
      <c r="D119" s="35" t="s">
        <v>160</v>
      </c>
      <c r="E119" s="35" t="s">
        <v>655</v>
      </c>
      <c r="F119" s="35" t="s">
        <v>573</v>
      </c>
      <c r="G119" s="83">
        <f t="shared" si="8"/>
        <v>0</v>
      </c>
      <c r="H119" s="83"/>
      <c r="I119" s="83">
        <f>I120</f>
        <v>0</v>
      </c>
    </row>
    <row r="120" spans="1:9" ht="13.5" hidden="1">
      <c r="A120" s="44" t="s">
        <v>574</v>
      </c>
      <c r="B120" s="21">
        <v>951</v>
      </c>
      <c r="C120" s="35" t="s">
        <v>140</v>
      </c>
      <c r="D120" s="35" t="s">
        <v>160</v>
      </c>
      <c r="E120" s="35" t="s">
        <v>655</v>
      </c>
      <c r="F120" s="35" t="s">
        <v>575</v>
      </c>
      <c r="G120" s="83">
        <f t="shared" si="8"/>
        <v>0</v>
      </c>
      <c r="H120" s="83"/>
      <c r="I120" s="83">
        <v>0</v>
      </c>
    </row>
    <row r="121" spans="1:9" ht="82.5" hidden="1">
      <c r="A121" s="17" t="s">
        <v>671</v>
      </c>
      <c r="B121" s="21">
        <v>951</v>
      </c>
      <c r="C121" s="35" t="s">
        <v>140</v>
      </c>
      <c r="D121" s="35" t="s">
        <v>160</v>
      </c>
      <c r="E121" s="35" t="s">
        <v>709</v>
      </c>
      <c r="F121" s="35" t="s">
        <v>391</v>
      </c>
      <c r="G121" s="83">
        <f t="shared" si="8"/>
        <v>0</v>
      </c>
      <c r="H121" s="83">
        <f>H122</f>
        <v>0</v>
      </c>
      <c r="I121" s="83"/>
    </row>
    <row r="122" spans="1:9" ht="41.25" hidden="1">
      <c r="A122" s="44" t="s">
        <v>572</v>
      </c>
      <c r="B122" s="21">
        <v>951</v>
      </c>
      <c r="C122" s="35" t="s">
        <v>140</v>
      </c>
      <c r="D122" s="35" t="s">
        <v>160</v>
      </c>
      <c r="E122" s="35" t="s">
        <v>709</v>
      </c>
      <c r="F122" s="35" t="s">
        <v>573</v>
      </c>
      <c r="G122" s="83">
        <f t="shared" si="8"/>
        <v>0</v>
      </c>
      <c r="H122" s="83">
        <f>H123</f>
        <v>0</v>
      </c>
      <c r="I122" s="83"/>
    </row>
    <row r="123" spans="1:9" ht="13.5" hidden="1">
      <c r="A123" s="44" t="s">
        <v>574</v>
      </c>
      <c r="B123" s="21">
        <v>951</v>
      </c>
      <c r="C123" s="35" t="s">
        <v>140</v>
      </c>
      <c r="D123" s="35" t="s">
        <v>160</v>
      </c>
      <c r="E123" s="35" t="s">
        <v>709</v>
      </c>
      <c r="F123" s="35" t="s">
        <v>575</v>
      </c>
      <c r="G123" s="83">
        <f t="shared" si="8"/>
        <v>0</v>
      </c>
      <c r="H123" s="83">
        <f>325-255-70</f>
        <v>0</v>
      </c>
      <c r="I123" s="83"/>
    </row>
    <row r="124" spans="1:9" ht="71.25" customHeight="1" hidden="1">
      <c r="A124" s="53" t="s">
        <v>665</v>
      </c>
      <c r="B124" s="72">
        <v>951</v>
      </c>
      <c r="C124" s="57" t="s">
        <v>140</v>
      </c>
      <c r="D124" s="57" t="s">
        <v>160</v>
      </c>
      <c r="E124" s="57" t="s">
        <v>656</v>
      </c>
      <c r="F124" s="57" t="s">
        <v>391</v>
      </c>
      <c r="G124" s="92">
        <f>H124+I124</f>
        <v>0</v>
      </c>
      <c r="H124" s="92">
        <f>H125</f>
        <v>0</v>
      </c>
      <c r="I124" s="92"/>
    </row>
    <row r="125" spans="1:9" ht="27" hidden="1">
      <c r="A125" s="17" t="s">
        <v>180</v>
      </c>
      <c r="B125" s="21">
        <v>951</v>
      </c>
      <c r="C125" s="35" t="s">
        <v>140</v>
      </c>
      <c r="D125" s="35" t="s">
        <v>160</v>
      </c>
      <c r="E125" s="35" t="s">
        <v>656</v>
      </c>
      <c r="F125" s="35" t="s">
        <v>149</v>
      </c>
      <c r="G125" s="83">
        <f>H125+I125</f>
        <v>0</v>
      </c>
      <c r="H125" s="83">
        <f>H126</f>
        <v>0</v>
      </c>
      <c r="I125" s="83"/>
    </row>
    <row r="126" spans="1:9" ht="41.25" hidden="1">
      <c r="A126" s="44" t="s">
        <v>181</v>
      </c>
      <c r="B126" s="21">
        <v>951</v>
      </c>
      <c r="C126" s="35" t="s">
        <v>140</v>
      </c>
      <c r="D126" s="35" t="s">
        <v>160</v>
      </c>
      <c r="E126" s="35" t="s">
        <v>656</v>
      </c>
      <c r="F126" s="35" t="s">
        <v>182</v>
      </c>
      <c r="G126" s="83">
        <f>H126+I126</f>
        <v>0</v>
      </c>
      <c r="H126" s="83">
        <v>0</v>
      </c>
      <c r="I126" s="83"/>
    </row>
    <row r="127" spans="1:9" ht="33" customHeight="1">
      <c r="A127" s="79" t="s">
        <v>31</v>
      </c>
      <c r="B127" s="21">
        <v>951</v>
      </c>
      <c r="C127" s="35" t="s">
        <v>140</v>
      </c>
      <c r="D127" s="35" t="s">
        <v>160</v>
      </c>
      <c r="E127" s="35" t="s">
        <v>32</v>
      </c>
      <c r="F127" s="35" t="s">
        <v>391</v>
      </c>
      <c r="G127" s="83">
        <f t="shared" si="1"/>
        <v>83</v>
      </c>
      <c r="H127" s="83">
        <f>H128</f>
        <v>83</v>
      </c>
      <c r="I127" s="83">
        <f>I128</f>
        <v>0</v>
      </c>
    </row>
    <row r="128" spans="1:9" ht="29.25" customHeight="1">
      <c r="A128" s="17" t="s">
        <v>180</v>
      </c>
      <c r="B128" s="21">
        <v>951</v>
      </c>
      <c r="C128" s="35" t="s">
        <v>140</v>
      </c>
      <c r="D128" s="35" t="s">
        <v>160</v>
      </c>
      <c r="E128" s="35" t="s">
        <v>658</v>
      </c>
      <c r="F128" s="35" t="s">
        <v>149</v>
      </c>
      <c r="G128" s="83">
        <f t="shared" si="1"/>
        <v>83</v>
      </c>
      <c r="H128" s="83">
        <f>H129</f>
        <v>83</v>
      </c>
      <c r="I128" s="83">
        <f>I129</f>
        <v>0</v>
      </c>
    </row>
    <row r="129" spans="1:9" ht="43.5" customHeight="1">
      <c r="A129" s="44" t="s">
        <v>181</v>
      </c>
      <c r="B129" s="21">
        <v>951</v>
      </c>
      <c r="C129" s="35" t="s">
        <v>140</v>
      </c>
      <c r="D129" s="35" t="s">
        <v>160</v>
      </c>
      <c r="E129" s="35" t="s">
        <v>658</v>
      </c>
      <c r="F129" s="35" t="s">
        <v>182</v>
      </c>
      <c r="G129" s="83">
        <f t="shared" si="1"/>
        <v>83</v>
      </c>
      <c r="H129" s="83">
        <v>83</v>
      </c>
      <c r="I129" s="83"/>
    </row>
    <row r="130" spans="1:9" ht="54.75">
      <c r="A130" s="53" t="s">
        <v>466</v>
      </c>
      <c r="B130" s="72">
        <v>951</v>
      </c>
      <c r="C130" s="57" t="s">
        <v>140</v>
      </c>
      <c r="D130" s="57" t="s">
        <v>160</v>
      </c>
      <c r="E130" s="57" t="s">
        <v>33</v>
      </c>
      <c r="F130" s="57" t="s">
        <v>391</v>
      </c>
      <c r="G130" s="92">
        <f t="shared" si="1"/>
        <v>10</v>
      </c>
      <c r="H130" s="92">
        <f>H131</f>
        <v>10</v>
      </c>
      <c r="I130" s="92">
        <f>I131</f>
        <v>0</v>
      </c>
    </row>
    <row r="131" spans="1:9" ht="33.75" customHeight="1">
      <c r="A131" s="17" t="s">
        <v>180</v>
      </c>
      <c r="B131" s="21">
        <v>951</v>
      </c>
      <c r="C131" s="35" t="s">
        <v>140</v>
      </c>
      <c r="D131" s="35" t="s">
        <v>160</v>
      </c>
      <c r="E131" s="35" t="s">
        <v>35</v>
      </c>
      <c r="F131" s="35" t="s">
        <v>149</v>
      </c>
      <c r="G131" s="83">
        <f t="shared" si="1"/>
        <v>10</v>
      </c>
      <c r="H131" s="83">
        <f>H132</f>
        <v>10</v>
      </c>
      <c r="I131" s="83">
        <f>I132</f>
        <v>0</v>
      </c>
    </row>
    <row r="132" spans="1:9" ht="41.25">
      <c r="A132" s="44" t="s">
        <v>181</v>
      </c>
      <c r="B132" s="21">
        <v>951</v>
      </c>
      <c r="C132" s="35" t="s">
        <v>140</v>
      </c>
      <c r="D132" s="35" t="s">
        <v>160</v>
      </c>
      <c r="E132" s="35" t="s">
        <v>35</v>
      </c>
      <c r="F132" s="35" t="s">
        <v>182</v>
      </c>
      <c r="G132" s="83">
        <f t="shared" si="1"/>
        <v>10</v>
      </c>
      <c r="H132" s="83">
        <v>10</v>
      </c>
      <c r="I132" s="83"/>
    </row>
    <row r="133" spans="1:9" ht="41.25">
      <c r="A133" s="54" t="s">
        <v>789</v>
      </c>
      <c r="B133" s="72" t="s">
        <v>169</v>
      </c>
      <c r="C133" s="57" t="s">
        <v>140</v>
      </c>
      <c r="D133" s="57" t="s">
        <v>160</v>
      </c>
      <c r="E133" s="57" t="s">
        <v>538</v>
      </c>
      <c r="F133" s="57" t="s">
        <v>391</v>
      </c>
      <c r="G133" s="92">
        <f t="shared" si="1"/>
        <v>15</v>
      </c>
      <c r="H133" s="92">
        <f>H134</f>
        <v>15</v>
      </c>
      <c r="I133" s="92"/>
    </row>
    <row r="134" spans="1:9" ht="48" customHeight="1">
      <c r="A134" s="44" t="s">
        <v>539</v>
      </c>
      <c r="B134" s="72" t="s">
        <v>169</v>
      </c>
      <c r="C134" s="35" t="s">
        <v>140</v>
      </c>
      <c r="D134" s="35" t="s">
        <v>160</v>
      </c>
      <c r="E134" s="35" t="s">
        <v>540</v>
      </c>
      <c r="F134" s="35" t="s">
        <v>149</v>
      </c>
      <c r="G134" s="83">
        <f t="shared" si="1"/>
        <v>15</v>
      </c>
      <c r="H134" s="83">
        <f>H135</f>
        <v>15</v>
      </c>
      <c r="I134" s="83"/>
    </row>
    <row r="135" spans="1:9" ht="16.5" customHeight="1">
      <c r="A135" s="44" t="s">
        <v>590</v>
      </c>
      <c r="B135" s="72" t="s">
        <v>169</v>
      </c>
      <c r="C135" s="35" t="s">
        <v>140</v>
      </c>
      <c r="D135" s="35" t="s">
        <v>160</v>
      </c>
      <c r="E135" s="35" t="s">
        <v>542</v>
      </c>
      <c r="F135" s="35" t="s">
        <v>182</v>
      </c>
      <c r="G135" s="83">
        <f t="shared" si="1"/>
        <v>15</v>
      </c>
      <c r="H135" s="83">
        <v>15</v>
      </c>
      <c r="I135" s="83"/>
    </row>
    <row r="136" spans="1:9" ht="13.5" hidden="1">
      <c r="A136" s="77" t="s">
        <v>354</v>
      </c>
      <c r="B136" s="72" t="s">
        <v>169</v>
      </c>
      <c r="C136" s="35" t="s">
        <v>140</v>
      </c>
      <c r="D136" s="35" t="s">
        <v>160</v>
      </c>
      <c r="E136" s="78" t="s">
        <v>304</v>
      </c>
      <c r="F136" s="78" t="s">
        <v>391</v>
      </c>
      <c r="G136" s="91">
        <f>H136+I136</f>
        <v>0</v>
      </c>
      <c r="H136" s="91">
        <f aca="true" t="shared" si="9" ref="H136:I139">H137</f>
        <v>0</v>
      </c>
      <c r="I136" s="91">
        <f t="shared" si="9"/>
        <v>0</v>
      </c>
    </row>
    <row r="137" spans="1:9" ht="69" hidden="1">
      <c r="A137" s="53" t="s">
        <v>524</v>
      </c>
      <c r="B137" s="72" t="s">
        <v>169</v>
      </c>
      <c r="C137" s="35" t="s">
        <v>140</v>
      </c>
      <c r="D137" s="35" t="s">
        <v>160</v>
      </c>
      <c r="E137" s="35" t="s">
        <v>304</v>
      </c>
      <c r="F137" s="35" t="s">
        <v>391</v>
      </c>
      <c r="G137" s="83">
        <f>H137+I137</f>
        <v>0</v>
      </c>
      <c r="H137" s="83">
        <f t="shared" si="9"/>
        <v>0</v>
      </c>
      <c r="I137" s="83">
        <f t="shared" si="9"/>
        <v>0</v>
      </c>
    </row>
    <row r="138" spans="1:9" ht="41.25" hidden="1">
      <c r="A138" s="17" t="s">
        <v>355</v>
      </c>
      <c r="B138" s="72" t="s">
        <v>169</v>
      </c>
      <c r="C138" s="35" t="s">
        <v>140</v>
      </c>
      <c r="D138" s="35" t="s">
        <v>160</v>
      </c>
      <c r="E138" s="35" t="s">
        <v>503</v>
      </c>
      <c r="F138" s="35" t="s">
        <v>391</v>
      </c>
      <c r="G138" s="83">
        <f t="shared" si="1"/>
        <v>0</v>
      </c>
      <c r="H138" s="83">
        <f t="shared" si="9"/>
        <v>0</v>
      </c>
      <c r="I138" s="83">
        <f t="shared" si="9"/>
        <v>0</v>
      </c>
    </row>
    <row r="139" spans="1:9" ht="13.5" hidden="1">
      <c r="A139" s="17" t="s">
        <v>191</v>
      </c>
      <c r="B139" s="72" t="s">
        <v>169</v>
      </c>
      <c r="C139" s="35" t="s">
        <v>140</v>
      </c>
      <c r="D139" s="35" t="s">
        <v>160</v>
      </c>
      <c r="E139" s="35" t="s">
        <v>503</v>
      </c>
      <c r="F139" s="35" t="s">
        <v>192</v>
      </c>
      <c r="G139" s="83">
        <f>H139+I139</f>
        <v>0</v>
      </c>
      <c r="H139" s="83">
        <f t="shared" si="9"/>
        <v>0</v>
      </c>
      <c r="I139" s="83">
        <f t="shared" si="9"/>
        <v>0</v>
      </c>
    </row>
    <row r="140" spans="1:9" ht="13.5" hidden="1">
      <c r="A140" s="17" t="s">
        <v>161</v>
      </c>
      <c r="B140" s="72" t="s">
        <v>169</v>
      </c>
      <c r="C140" s="35" t="s">
        <v>140</v>
      </c>
      <c r="D140" s="35" t="s">
        <v>160</v>
      </c>
      <c r="E140" s="35" t="s">
        <v>503</v>
      </c>
      <c r="F140" s="35" t="s">
        <v>356</v>
      </c>
      <c r="G140" s="83">
        <f>H140+I140</f>
        <v>0</v>
      </c>
      <c r="H140" s="83"/>
      <c r="I140" s="83">
        <v>0</v>
      </c>
    </row>
    <row r="141" spans="1:9" ht="41.25">
      <c r="A141" s="77" t="s">
        <v>357</v>
      </c>
      <c r="B141" s="84" t="s">
        <v>169</v>
      </c>
      <c r="C141" s="78" t="s">
        <v>147</v>
      </c>
      <c r="D141" s="78" t="s">
        <v>141</v>
      </c>
      <c r="E141" s="78" t="s">
        <v>304</v>
      </c>
      <c r="F141" s="78" t="s">
        <v>391</v>
      </c>
      <c r="G141" s="91">
        <f>H141+I141</f>
        <v>13.99501</v>
      </c>
      <c r="H141" s="91">
        <f>H142</f>
        <v>13.99501</v>
      </c>
      <c r="I141" s="91">
        <f>I142</f>
        <v>0</v>
      </c>
    </row>
    <row r="142" spans="1:9" ht="15">
      <c r="A142" s="31" t="s">
        <v>939</v>
      </c>
      <c r="B142" s="21" t="s">
        <v>169</v>
      </c>
      <c r="C142" s="35" t="s">
        <v>147</v>
      </c>
      <c r="D142" s="35" t="s">
        <v>359</v>
      </c>
      <c r="E142" s="35" t="s">
        <v>304</v>
      </c>
      <c r="F142" s="35" t="s">
        <v>391</v>
      </c>
      <c r="G142" s="83">
        <f>H142+I142</f>
        <v>13.99501</v>
      </c>
      <c r="H142" s="83">
        <f>H143+H163</f>
        <v>13.99501</v>
      </c>
      <c r="I142" s="83">
        <f>I143+I163</f>
        <v>0</v>
      </c>
    </row>
    <row r="143" spans="1:9" ht="43.5" customHeight="1" hidden="1">
      <c r="A143" s="17" t="s">
        <v>358</v>
      </c>
      <c r="B143" s="21" t="s">
        <v>169</v>
      </c>
      <c r="C143" s="35" t="s">
        <v>147</v>
      </c>
      <c r="D143" s="35" t="s">
        <v>359</v>
      </c>
      <c r="E143" s="35" t="s">
        <v>18</v>
      </c>
      <c r="F143" s="35" t="s">
        <v>391</v>
      </c>
      <c r="G143" s="83">
        <f aca="true" t="shared" si="10" ref="G143:G344">H143+I143</f>
        <v>0</v>
      </c>
      <c r="H143" s="83">
        <f aca="true" t="shared" si="11" ref="H143:I145">H144</f>
        <v>0</v>
      </c>
      <c r="I143" s="83">
        <f t="shared" si="11"/>
        <v>0</v>
      </c>
    </row>
    <row r="144" spans="1:9" ht="43.5" customHeight="1" hidden="1">
      <c r="A144" s="17" t="s">
        <v>360</v>
      </c>
      <c r="B144" s="21" t="s">
        <v>169</v>
      </c>
      <c r="C144" s="35" t="s">
        <v>147</v>
      </c>
      <c r="D144" s="35" t="s">
        <v>359</v>
      </c>
      <c r="E144" s="35" t="s">
        <v>18</v>
      </c>
      <c r="F144" s="35" t="s">
        <v>391</v>
      </c>
      <c r="G144" s="83">
        <f t="shared" si="10"/>
        <v>0</v>
      </c>
      <c r="H144" s="83">
        <f t="shared" si="11"/>
        <v>0</v>
      </c>
      <c r="I144" s="83">
        <f t="shared" si="11"/>
        <v>0</v>
      </c>
    </row>
    <row r="145" spans="1:9" ht="31.5" customHeight="1" hidden="1">
      <c r="A145" s="17" t="s">
        <v>180</v>
      </c>
      <c r="B145" s="21" t="s">
        <v>169</v>
      </c>
      <c r="C145" s="35" t="s">
        <v>147</v>
      </c>
      <c r="D145" s="35" t="s">
        <v>359</v>
      </c>
      <c r="E145" s="35" t="s">
        <v>18</v>
      </c>
      <c r="F145" s="35" t="s">
        <v>149</v>
      </c>
      <c r="G145" s="83">
        <f t="shared" si="10"/>
        <v>0</v>
      </c>
      <c r="H145" s="83">
        <f t="shared" si="11"/>
        <v>0</v>
      </c>
      <c r="I145" s="83">
        <f t="shared" si="11"/>
        <v>0</v>
      </c>
    </row>
    <row r="146" spans="1:9" ht="43.5" customHeight="1" hidden="1">
      <c r="A146" s="44" t="s">
        <v>181</v>
      </c>
      <c r="B146" s="21" t="s">
        <v>169</v>
      </c>
      <c r="C146" s="35" t="s">
        <v>147</v>
      </c>
      <c r="D146" s="35" t="s">
        <v>359</v>
      </c>
      <c r="E146" s="35" t="s">
        <v>18</v>
      </c>
      <c r="F146" s="35" t="s">
        <v>182</v>
      </c>
      <c r="G146" s="83">
        <f t="shared" si="10"/>
        <v>0</v>
      </c>
      <c r="H146" s="83">
        <f>100-100</f>
        <v>0</v>
      </c>
      <c r="I146" s="83"/>
    </row>
    <row r="147" spans="1:9" ht="84.75" customHeight="1" hidden="1">
      <c r="A147" s="54" t="s">
        <v>735</v>
      </c>
      <c r="B147" s="21" t="s">
        <v>600</v>
      </c>
      <c r="C147" s="35" t="s">
        <v>147</v>
      </c>
      <c r="D147" s="35" t="s">
        <v>359</v>
      </c>
      <c r="E147" s="57" t="s">
        <v>719</v>
      </c>
      <c r="F147" s="35" t="s">
        <v>391</v>
      </c>
      <c r="G147" s="92">
        <f>H147+I147</f>
        <v>0</v>
      </c>
      <c r="H147" s="92"/>
      <c r="I147" s="92">
        <f>I148</f>
        <v>0</v>
      </c>
    </row>
    <row r="148" spans="1:9" ht="84.75" customHeight="1" hidden="1">
      <c r="A148" s="17" t="s">
        <v>177</v>
      </c>
      <c r="B148" s="21" t="s">
        <v>601</v>
      </c>
      <c r="C148" s="35" t="s">
        <v>147</v>
      </c>
      <c r="D148" s="35" t="s">
        <v>359</v>
      </c>
      <c r="E148" s="35" t="s">
        <v>719</v>
      </c>
      <c r="F148" s="35" t="s">
        <v>145</v>
      </c>
      <c r="G148" s="83">
        <f>H148+I148</f>
        <v>0</v>
      </c>
      <c r="H148" s="83"/>
      <c r="I148" s="83">
        <f>I149</f>
        <v>0</v>
      </c>
    </row>
    <row r="149" spans="1:9" ht="30.75" customHeight="1" hidden="1">
      <c r="A149" s="44" t="s">
        <v>179</v>
      </c>
      <c r="B149" s="21" t="s">
        <v>602</v>
      </c>
      <c r="C149" s="35" t="s">
        <v>147</v>
      </c>
      <c r="D149" s="35" t="s">
        <v>359</v>
      </c>
      <c r="E149" s="35" t="s">
        <v>719</v>
      </c>
      <c r="F149" s="35" t="s">
        <v>178</v>
      </c>
      <c r="G149" s="83">
        <f>H149+I149</f>
        <v>0</v>
      </c>
      <c r="H149" s="83"/>
      <c r="I149" s="83">
        <v>0</v>
      </c>
    </row>
    <row r="150" spans="1:9" ht="70.5" customHeight="1" hidden="1">
      <c r="A150" s="54" t="s">
        <v>736</v>
      </c>
      <c r="B150" s="21" t="s">
        <v>776</v>
      </c>
      <c r="C150" s="35" t="s">
        <v>147</v>
      </c>
      <c r="D150" s="35" t="s">
        <v>359</v>
      </c>
      <c r="E150" s="57" t="s">
        <v>720</v>
      </c>
      <c r="F150" s="57" t="s">
        <v>391</v>
      </c>
      <c r="G150" s="92">
        <f>H150</f>
        <v>0</v>
      </c>
      <c r="H150" s="92">
        <f>H151+H153</f>
        <v>0</v>
      </c>
      <c r="I150" s="92"/>
    </row>
    <row r="151" spans="1:9" ht="81.75" customHeight="1" hidden="1">
      <c r="A151" s="17" t="s">
        <v>177</v>
      </c>
      <c r="B151" s="21" t="s">
        <v>777</v>
      </c>
      <c r="C151" s="35" t="s">
        <v>147</v>
      </c>
      <c r="D151" s="35" t="s">
        <v>359</v>
      </c>
      <c r="E151" s="35" t="s">
        <v>720</v>
      </c>
      <c r="F151" s="35" t="s">
        <v>145</v>
      </c>
      <c r="G151" s="83">
        <f>H151</f>
        <v>0</v>
      </c>
      <c r="H151" s="83">
        <f>H152</f>
        <v>0</v>
      </c>
      <c r="I151" s="83"/>
    </row>
    <row r="152" spans="1:9" ht="30" customHeight="1" hidden="1">
      <c r="A152" s="44" t="s">
        <v>179</v>
      </c>
      <c r="B152" s="21" t="s">
        <v>778</v>
      </c>
      <c r="C152" s="35" t="s">
        <v>147</v>
      </c>
      <c r="D152" s="35" t="s">
        <v>359</v>
      </c>
      <c r="E152" s="35" t="s">
        <v>720</v>
      </c>
      <c r="F152" s="35" t="s">
        <v>178</v>
      </c>
      <c r="G152" s="83">
        <f>H152</f>
        <v>0</v>
      </c>
      <c r="H152" s="83">
        <v>0</v>
      </c>
      <c r="I152" s="83"/>
    </row>
    <row r="153" spans="1:9" ht="30.75" customHeight="1" hidden="1">
      <c r="A153" s="17" t="s">
        <v>180</v>
      </c>
      <c r="B153" s="21" t="s">
        <v>779</v>
      </c>
      <c r="C153" s="35" t="s">
        <v>147</v>
      </c>
      <c r="D153" s="35" t="s">
        <v>359</v>
      </c>
      <c r="E153" s="35" t="s">
        <v>720</v>
      </c>
      <c r="F153" s="35" t="s">
        <v>149</v>
      </c>
      <c r="G153" s="83">
        <f>H153</f>
        <v>0</v>
      </c>
      <c r="H153" s="83">
        <f>H154</f>
        <v>0</v>
      </c>
      <c r="I153" s="83"/>
    </row>
    <row r="154" spans="1:9" ht="42" customHeight="1" hidden="1">
      <c r="A154" s="44" t="s">
        <v>181</v>
      </c>
      <c r="B154" s="21" t="s">
        <v>940</v>
      </c>
      <c r="C154" s="35" t="s">
        <v>147</v>
      </c>
      <c r="D154" s="35" t="s">
        <v>359</v>
      </c>
      <c r="E154" s="35" t="s">
        <v>720</v>
      </c>
      <c r="F154" s="35" t="s">
        <v>182</v>
      </c>
      <c r="G154" s="83">
        <f>H154</f>
        <v>0</v>
      </c>
      <c r="H154" s="83">
        <v>0</v>
      </c>
      <c r="I154" s="83"/>
    </row>
    <row r="155" spans="1:9" ht="82.5" customHeight="1" hidden="1">
      <c r="A155" s="54" t="s">
        <v>737</v>
      </c>
      <c r="B155" s="21" t="s">
        <v>941</v>
      </c>
      <c r="C155" s="35" t="s">
        <v>147</v>
      </c>
      <c r="D155" s="35" t="s">
        <v>359</v>
      </c>
      <c r="E155" s="57" t="s">
        <v>738</v>
      </c>
      <c r="F155" s="57" t="s">
        <v>391</v>
      </c>
      <c r="G155" s="92">
        <f aca="true" t="shared" si="12" ref="G155:G165">H155+I155</f>
        <v>0</v>
      </c>
      <c r="H155" s="92"/>
      <c r="I155" s="92">
        <f>I156</f>
        <v>0</v>
      </c>
    </row>
    <row r="156" spans="1:9" ht="33" customHeight="1" hidden="1">
      <c r="A156" s="17" t="s">
        <v>180</v>
      </c>
      <c r="B156" s="21" t="s">
        <v>942</v>
      </c>
      <c r="C156" s="35" t="s">
        <v>147</v>
      </c>
      <c r="D156" s="35" t="s">
        <v>359</v>
      </c>
      <c r="E156" s="35" t="s">
        <v>738</v>
      </c>
      <c r="F156" s="35" t="s">
        <v>149</v>
      </c>
      <c r="G156" s="83">
        <f t="shared" si="12"/>
        <v>0</v>
      </c>
      <c r="H156" s="83"/>
      <c r="I156" s="83">
        <f>I157</f>
        <v>0</v>
      </c>
    </row>
    <row r="157" spans="1:9" ht="41.25" customHeight="1" hidden="1">
      <c r="A157" s="44" t="s">
        <v>181</v>
      </c>
      <c r="B157" s="21" t="s">
        <v>943</v>
      </c>
      <c r="C157" s="35" t="s">
        <v>147</v>
      </c>
      <c r="D157" s="35" t="s">
        <v>359</v>
      </c>
      <c r="E157" s="35" t="s">
        <v>738</v>
      </c>
      <c r="F157" s="35" t="s">
        <v>182</v>
      </c>
      <c r="G157" s="83">
        <f t="shared" si="12"/>
        <v>0</v>
      </c>
      <c r="H157" s="83"/>
      <c r="I157" s="83">
        <v>0</v>
      </c>
    </row>
    <row r="158" spans="1:9" ht="42" customHeight="1" hidden="1">
      <c r="A158" s="77" t="s">
        <v>357</v>
      </c>
      <c r="B158" s="21" t="s">
        <v>780</v>
      </c>
      <c r="C158" s="35" t="s">
        <v>147</v>
      </c>
      <c r="D158" s="35" t="s">
        <v>359</v>
      </c>
      <c r="E158" s="78" t="s">
        <v>304</v>
      </c>
      <c r="F158" s="78" t="s">
        <v>391</v>
      </c>
      <c r="G158" s="121">
        <f t="shared" si="12"/>
        <v>0</v>
      </c>
      <c r="H158" s="91">
        <f aca="true" t="shared" si="13" ref="H158:I161">H159</f>
        <v>0</v>
      </c>
      <c r="I158" s="91">
        <f t="shared" si="13"/>
        <v>0</v>
      </c>
    </row>
    <row r="159" spans="1:9" ht="43.5" customHeight="1" hidden="1">
      <c r="A159" s="17" t="s">
        <v>358</v>
      </c>
      <c r="B159" s="21" t="s">
        <v>944</v>
      </c>
      <c r="C159" s="35" t="s">
        <v>147</v>
      </c>
      <c r="D159" s="35" t="s">
        <v>359</v>
      </c>
      <c r="E159" s="35" t="s">
        <v>304</v>
      </c>
      <c r="F159" s="35" t="s">
        <v>391</v>
      </c>
      <c r="G159" s="83">
        <f t="shared" si="12"/>
        <v>0</v>
      </c>
      <c r="H159" s="108">
        <f>H160</f>
        <v>0</v>
      </c>
      <c r="I159" s="108">
        <f t="shared" si="13"/>
        <v>0</v>
      </c>
    </row>
    <row r="160" spans="1:9" ht="58.5" customHeight="1" hidden="1">
      <c r="A160" s="17" t="s">
        <v>753</v>
      </c>
      <c r="B160" s="21" t="s">
        <v>945</v>
      </c>
      <c r="C160" s="35" t="s">
        <v>147</v>
      </c>
      <c r="D160" s="35" t="s">
        <v>359</v>
      </c>
      <c r="E160" s="35" t="s">
        <v>754</v>
      </c>
      <c r="F160" s="35" t="s">
        <v>391</v>
      </c>
      <c r="G160" s="83">
        <f t="shared" si="12"/>
        <v>0</v>
      </c>
      <c r="H160" s="108">
        <f>H161</f>
        <v>0</v>
      </c>
      <c r="I160" s="108">
        <f t="shared" si="13"/>
        <v>0</v>
      </c>
    </row>
    <row r="161" spans="1:9" ht="34.5" customHeight="1" hidden="1">
      <c r="A161" s="17" t="s">
        <v>180</v>
      </c>
      <c r="B161" s="21" t="s">
        <v>946</v>
      </c>
      <c r="C161" s="35" t="s">
        <v>147</v>
      </c>
      <c r="D161" s="35" t="s">
        <v>359</v>
      </c>
      <c r="E161" s="35" t="s">
        <v>754</v>
      </c>
      <c r="F161" s="35" t="s">
        <v>149</v>
      </c>
      <c r="G161" s="83">
        <f t="shared" si="12"/>
        <v>0</v>
      </c>
      <c r="H161" s="108">
        <f>H162</f>
        <v>0</v>
      </c>
      <c r="I161" s="108">
        <f t="shared" si="13"/>
        <v>0</v>
      </c>
    </row>
    <row r="162" spans="1:9" ht="43.5" customHeight="1" hidden="1">
      <c r="A162" s="44" t="s">
        <v>181</v>
      </c>
      <c r="B162" s="21" t="s">
        <v>781</v>
      </c>
      <c r="C162" s="35" t="s">
        <v>147</v>
      </c>
      <c r="D162" s="35" t="s">
        <v>359</v>
      </c>
      <c r="E162" s="35" t="s">
        <v>754</v>
      </c>
      <c r="F162" s="35" t="s">
        <v>182</v>
      </c>
      <c r="G162" s="83">
        <f t="shared" si="12"/>
        <v>0</v>
      </c>
      <c r="H162" s="108">
        <v>0</v>
      </c>
      <c r="I162" s="108"/>
    </row>
    <row r="163" spans="1:9" ht="86.25" customHeight="1">
      <c r="A163" s="44" t="s">
        <v>935</v>
      </c>
      <c r="B163" s="21" t="s">
        <v>169</v>
      </c>
      <c r="C163" s="35" t="s">
        <v>147</v>
      </c>
      <c r="D163" s="35" t="s">
        <v>359</v>
      </c>
      <c r="E163" s="35" t="s">
        <v>936</v>
      </c>
      <c r="F163" s="35" t="s">
        <v>391</v>
      </c>
      <c r="G163" s="83">
        <f t="shared" si="12"/>
        <v>13.99501</v>
      </c>
      <c r="H163" s="83">
        <f>H164</f>
        <v>13.99501</v>
      </c>
      <c r="I163" s="83"/>
    </row>
    <row r="164" spans="1:9" ht="33" customHeight="1">
      <c r="A164" s="17" t="s">
        <v>180</v>
      </c>
      <c r="B164" s="21" t="s">
        <v>169</v>
      </c>
      <c r="C164" s="35" t="s">
        <v>147</v>
      </c>
      <c r="D164" s="35" t="s">
        <v>359</v>
      </c>
      <c r="E164" s="35" t="s">
        <v>936</v>
      </c>
      <c r="F164" s="35" t="s">
        <v>149</v>
      </c>
      <c r="G164" s="83">
        <f t="shared" si="12"/>
        <v>13.99501</v>
      </c>
      <c r="H164" s="83">
        <f>H165</f>
        <v>13.99501</v>
      </c>
      <c r="I164" s="83"/>
    </row>
    <row r="165" spans="1:9" ht="43.5" customHeight="1">
      <c r="A165" s="44" t="s">
        <v>181</v>
      </c>
      <c r="B165" s="21" t="s">
        <v>169</v>
      </c>
      <c r="C165" s="35" t="s">
        <v>147</v>
      </c>
      <c r="D165" s="35" t="s">
        <v>359</v>
      </c>
      <c r="E165" s="35" t="s">
        <v>936</v>
      </c>
      <c r="F165" s="35" t="s">
        <v>182</v>
      </c>
      <c r="G165" s="83">
        <f t="shared" si="12"/>
        <v>13.99501</v>
      </c>
      <c r="H165" s="83">
        <v>13.99501</v>
      </c>
      <c r="I165" s="83"/>
    </row>
    <row r="166" spans="1:9" ht="13.5">
      <c r="A166" s="103" t="s">
        <v>361</v>
      </c>
      <c r="B166" s="171">
        <v>951</v>
      </c>
      <c r="C166" s="78" t="s">
        <v>151</v>
      </c>
      <c r="D166" s="78" t="s">
        <v>141</v>
      </c>
      <c r="E166" s="78" t="s">
        <v>304</v>
      </c>
      <c r="F166" s="78" t="s">
        <v>391</v>
      </c>
      <c r="G166" s="121">
        <f>I166+H166</f>
        <v>29559.9063</v>
      </c>
      <c r="H166" s="91">
        <f>H171+H184+H205+H167</f>
        <v>26290.60829</v>
      </c>
      <c r="I166" s="91">
        <f>I171+I184+I205+I167+I210</f>
        <v>3269.29801</v>
      </c>
    </row>
    <row r="167" spans="1:9" ht="13.5">
      <c r="A167" s="17" t="s">
        <v>225</v>
      </c>
      <c r="B167" s="21" t="s">
        <v>169</v>
      </c>
      <c r="C167" s="35" t="s">
        <v>151</v>
      </c>
      <c r="D167" s="35" t="s">
        <v>371</v>
      </c>
      <c r="E167" s="35" t="s">
        <v>304</v>
      </c>
      <c r="F167" s="35" t="s">
        <v>391</v>
      </c>
      <c r="G167" s="83">
        <f t="shared" si="10"/>
        <v>265.91093</v>
      </c>
      <c r="H167" s="83">
        <f>H168</f>
        <v>0</v>
      </c>
      <c r="I167" s="83">
        <f>I168</f>
        <v>265.91093</v>
      </c>
    </row>
    <row r="168" spans="1:9" ht="82.5">
      <c r="A168" s="17" t="s">
        <v>685</v>
      </c>
      <c r="B168" s="21" t="s">
        <v>169</v>
      </c>
      <c r="C168" s="35" t="s">
        <v>151</v>
      </c>
      <c r="D168" s="35" t="s">
        <v>371</v>
      </c>
      <c r="E168" s="35" t="s">
        <v>37</v>
      </c>
      <c r="F168" s="35" t="s">
        <v>391</v>
      </c>
      <c r="G168" s="83">
        <f t="shared" si="10"/>
        <v>265.91093</v>
      </c>
      <c r="H168" s="83"/>
      <c r="I168" s="83">
        <f>I169</f>
        <v>265.91093</v>
      </c>
    </row>
    <row r="169" spans="1:9" ht="30" customHeight="1">
      <c r="A169" s="17" t="s">
        <v>180</v>
      </c>
      <c r="B169" s="21" t="s">
        <v>169</v>
      </c>
      <c r="C169" s="35" t="s">
        <v>151</v>
      </c>
      <c r="D169" s="35" t="s">
        <v>371</v>
      </c>
      <c r="E169" s="35" t="s">
        <v>37</v>
      </c>
      <c r="F169" s="35" t="s">
        <v>149</v>
      </c>
      <c r="G169" s="83">
        <f t="shared" si="10"/>
        <v>265.91093</v>
      </c>
      <c r="H169" s="83"/>
      <c r="I169" s="83">
        <f>I170</f>
        <v>265.91093</v>
      </c>
    </row>
    <row r="170" spans="1:9" ht="45" customHeight="1">
      <c r="A170" s="44" t="s">
        <v>181</v>
      </c>
      <c r="B170" s="21" t="s">
        <v>169</v>
      </c>
      <c r="C170" s="35" t="s">
        <v>151</v>
      </c>
      <c r="D170" s="35" t="s">
        <v>371</v>
      </c>
      <c r="E170" s="35" t="s">
        <v>37</v>
      </c>
      <c r="F170" s="35" t="s">
        <v>182</v>
      </c>
      <c r="G170" s="83">
        <f t="shared" si="10"/>
        <v>265.91093</v>
      </c>
      <c r="H170" s="83"/>
      <c r="I170" s="83">
        <v>265.91093</v>
      </c>
    </row>
    <row r="171" spans="1:9" ht="13.5">
      <c r="A171" s="17" t="s">
        <v>398</v>
      </c>
      <c r="B171" s="21">
        <v>951</v>
      </c>
      <c r="C171" s="35" t="s">
        <v>151</v>
      </c>
      <c r="D171" s="35" t="s">
        <v>362</v>
      </c>
      <c r="E171" s="35" t="s">
        <v>304</v>
      </c>
      <c r="F171" s="35" t="s">
        <v>391</v>
      </c>
      <c r="G171" s="83">
        <f t="shared" si="10"/>
        <v>2227.0530800000006</v>
      </c>
      <c r="H171" s="83">
        <f>H172</f>
        <v>2223.6660000000006</v>
      </c>
      <c r="I171" s="83">
        <f>I173+I181</f>
        <v>3.38708</v>
      </c>
    </row>
    <row r="172" spans="1:9" ht="87.75" customHeight="1">
      <c r="A172" s="53" t="s">
        <v>469</v>
      </c>
      <c r="B172" s="72" t="s">
        <v>169</v>
      </c>
      <c r="C172" s="57" t="s">
        <v>151</v>
      </c>
      <c r="D172" s="57" t="s">
        <v>362</v>
      </c>
      <c r="E172" s="57" t="s">
        <v>304</v>
      </c>
      <c r="F172" s="57" t="s">
        <v>391</v>
      </c>
      <c r="G172" s="92">
        <f t="shared" si="10"/>
        <v>2223.6660000000006</v>
      </c>
      <c r="H172" s="92">
        <f>H173+H177</f>
        <v>2223.6660000000006</v>
      </c>
      <c r="I172" s="92"/>
    </row>
    <row r="173" spans="1:9" ht="13.5">
      <c r="A173" s="17" t="s">
        <v>399</v>
      </c>
      <c r="B173" s="21">
        <v>951</v>
      </c>
      <c r="C173" s="35" t="s">
        <v>151</v>
      </c>
      <c r="D173" s="35" t="s">
        <v>362</v>
      </c>
      <c r="E173" s="35" t="s">
        <v>470</v>
      </c>
      <c r="F173" s="35" t="s">
        <v>391</v>
      </c>
      <c r="G173" s="83">
        <f t="shared" si="10"/>
        <v>2223.6660000000006</v>
      </c>
      <c r="H173" s="83">
        <f>H174+H179</f>
        <v>2223.6660000000006</v>
      </c>
      <c r="I173" s="83">
        <f aca="true" t="shared" si="14" ref="H173:I175">I174</f>
        <v>0</v>
      </c>
    </row>
    <row r="174" spans="1:9" ht="30.75" customHeight="1">
      <c r="A174" s="17" t="s">
        <v>400</v>
      </c>
      <c r="B174" s="21">
        <v>951</v>
      </c>
      <c r="C174" s="35" t="s">
        <v>151</v>
      </c>
      <c r="D174" s="35" t="s">
        <v>362</v>
      </c>
      <c r="E174" s="35" t="s">
        <v>470</v>
      </c>
      <c r="F174" s="35" t="s">
        <v>391</v>
      </c>
      <c r="G174" s="83">
        <f t="shared" si="10"/>
        <v>2214.7410000000004</v>
      </c>
      <c r="H174" s="83">
        <f t="shared" si="14"/>
        <v>2214.7410000000004</v>
      </c>
      <c r="I174" s="83">
        <f t="shared" si="14"/>
        <v>0</v>
      </c>
    </row>
    <row r="175" spans="1:9" ht="13.5">
      <c r="A175" s="17" t="s">
        <v>185</v>
      </c>
      <c r="B175" s="21">
        <v>951</v>
      </c>
      <c r="C175" s="35" t="s">
        <v>151</v>
      </c>
      <c r="D175" s="35" t="s">
        <v>362</v>
      </c>
      <c r="E175" s="35" t="s">
        <v>470</v>
      </c>
      <c r="F175" s="35" t="s">
        <v>186</v>
      </c>
      <c r="G175" s="83">
        <f t="shared" si="10"/>
        <v>2214.7410000000004</v>
      </c>
      <c r="H175" s="83">
        <f t="shared" si="14"/>
        <v>2214.7410000000004</v>
      </c>
      <c r="I175" s="83">
        <f t="shared" si="14"/>
        <v>0</v>
      </c>
    </row>
    <row r="176" spans="1:9" ht="48.75" customHeight="1">
      <c r="A176" s="17" t="s">
        <v>680</v>
      </c>
      <c r="B176" s="21">
        <v>951</v>
      </c>
      <c r="C176" s="35" t="s">
        <v>151</v>
      </c>
      <c r="D176" s="35" t="s">
        <v>362</v>
      </c>
      <c r="E176" s="35" t="s">
        <v>470</v>
      </c>
      <c r="F176" s="35" t="s">
        <v>369</v>
      </c>
      <c r="G176" s="83">
        <f t="shared" si="10"/>
        <v>2214.7410000000004</v>
      </c>
      <c r="H176" s="83">
        <f>2300-3.825-5.1-76.334</f>
        <v>2214.7410000000004</v>
      </c>
      <c r="I176" s="83"/>
    </row>
    <row r="177" spans="1:9" ht="17.25" customHeight="1" hidden="1">
      <c r="A177" s="44" t="s">
        <v>191</v>
      </c>
      <c r="B177" s="21">
        <v>951</v>
      </c>
      <c r="C177" s="35" t="s">
        <v>151</v>
      </c>
      <c r="D177" s="35" t="s">
        <v>362</v>
      </c>
      <c r="E177" s="35" t="s">
        <v>646</v>
      </c>
      <c r="F177" s="35" t="s">
        <v>192</v>
      </c>
      <c r="G177" s="83">
        <f>H177+I177</f>
        <v>0</v>
      </c>
      <c r="H177" s="83">
        <f>H178</f>
        <v>0</v>
      </c>
      <c r="I177" s="83"/>
    </row>
    <row r="178" spans="1:9" ht="18.75" customHeight="1" hidden="1">
      <c r="A178" s="44" t="s">
        <v>286</v>
      </c>
      <c r="B178" s="21">
        <v>951</v>
      </c>
      <c r="C178" s="35" t="s">
        <v>151</v>
      </c>
      <c r="D178" s="35" t="s">
        <v>362</v>
      </c>
      <c r="E178" s="35" t="s">
        <v>646</v>
      </c>
      <c r="F178" s="35" t="s">
        <v>435</v>
      </c>
      <c r="G178" s="83">
        <f>H178+I178</f>
        <v>0</v>
      </c>
      <c r="H178" s="83">
        <v>0</v>
      </c>
      <c r="I178" s="83"/>
    </row>
    <row r="179" spans="1:9" ht="32.25" customHeight="1">
      <c r="A179" s="17" t="s">
        <v>180</v>
      </c>
      <c r="B179" s="21">
        <v>951</v>
      </c>
      <c r="C179" s="35" t="s">
        <v>151</v>
      </c>
      <c r="D179" s="35" t="s">
        <v>362</v>
      </c>
      <c r="E179" s="35" t="s">
        <v>470</v>
      </c>
      <c r="F179" s="35" t="s">
        <v>149</v>
      </c>
      <c r="G179" s="83">
        <f>H179</f>
        <v>8.925</v>
      </c>
      <c r="H179" s="83">
        <f>H180</f>
        <v>8.925</v>
      </c>
      <c r="I179" s="83"/>
    </row>
    <row r="180" spans="1:9" ht="42.75" customHeight="1">
      <c r="A180" s="44" t="s">
        <v>181</v>
      </c>
      <c r="B180" s="21">
        <v>951</v>
      </c>
      <c r="C180" s="35" t="s">
        <v>151</v>
      </c>
      <c r="D180" s="35" t="s">
        <v>362</v>
      </c>
      <c r="E180" s="35" t="s">
        <v>470</v>
      </c>
      <c r="F180" s="35" t="s">
        <v>182</v>
      </c>
      <c r="G180" s="83">
        <f>H180</f>
        <v>8.925</v>
      </c>
      <c r="H180" s="83">
        <f>3.825+5.1</f>
        <v>8.925</v>
      </c>
      <c r="I180" s="83"/>
    </row>
    <row r="181" spans="1:9" ht="111.75" customHeight="1">
      <c r="A181" s="54" t="s">
        <v>543</v>
      </c>
      <c r="B181" s="72" t="s">
        <v>169</v>
      </c>
      <c r="C181" s="57" t="s">
        <v>151</v>
      </c>
      <c r="D181" s="57" t="s">
        <v>362</v>
      </c>
      <c r="E181" s="57" t="s">
        <v>304</v>
      </c>
      <c r="F181" s="57" t="s">
        <v>391</v>
      </c>
      <c r="G181" s="92">
        <f>H181+I181</f>
        <v>3.38708</v>
      </c>
      <c r="H181" s="92"/>
      <c r="I181" s="92">
        <f>I182</f>
        <v>3.38708</v>
      </c>
    </row>
    <row r="182" spans="1:9" ht="33" customHeight="1">
      <c r="A182" s="17" t="s">
        <v>180</v>
      </c>
      <c r="B182" s="21" t="s">
        <v>169</v>
      </c>
      <c r="C182" s="35" t="s">
        <v>151</v>
      </c>
      <c r="D182" s="35" t="s">
        <v>362</v>
      </c>
      <c r="E182" s="35" t="s">
        <v>544</v>
      </c>
      <c r="F182" s="35" t="s">
        <v>149</v>
      </c>
      <c r="G182" s="83">
        <f>H182+I182</f>
        <v>3.38708</v>
      </c>
      <c r="H182" s="83"/>
      <c r="I182" s="83">
        <f>I183</f>
        <v>3.38708</v>
      </c>
    </row>
    <row r="183" spans="1:9" ht="33" customHeight="1">
      <c r="A183" s="44" t="s">
        <v>181</v>
      </c>
      <c r="B183" s="21" t="s">
        <v>169</v>
      </c>
      <c r="C183" s="35" t="s">
        <v>151</v>
      </c>
      <c r="D183" s="35" t="s">
        <v>362</v>
      </c>
      <c r="E183" s="35" t="s">
        <v>544</v>
      </c>
      <c r="F183" s="35" t="s">
        <v>182</v>
      </c>
      <c r="G183" s="83">
        <f>H183+I183</f>
        <v>3.38708</v>
      </c>
      <c r="H183" s="83"/>
      <c r="I183" s="83">
        <v>3.38708</v>
      </c>
    </row>
    <row r="184" spans="1:9" ht="17.25" customHeight="1">
      <c r="A184" s="53" t="s">
        <v>363</v>
      </c>
      <c r="B184" s="72">
        <v>951</v>
      </c>
      <c r="C184" s="57" t="s">
        <v>151</v>
      </c>
      <c r="D184" s="57" t="s">
        <v>359</v>
      </c>
      <c r="E184" s="57" t="s">
        <v>304</v>
      </c>
      <c r="F184" s="57" t="s">
        <v>391</v>
      </c>
      <c r="G184" s="92">
        <f t="shared" si="10"/>
        <v>27066.94229</v>
      </c>
      <c r="H184" s="92">
        <f>H185+H198</f>
        <v>24066.94229</v>
      </c>
      <c r="I184" s="92">
        <f>I185</f>
        <v>3000</v>
      </c>
    </row>
    <row r="185" spans="1:9" ht="87" customHeight="1">
      <c r="A185" s="53" t="s">
        <v>469</v>
      </c>
      <c r="B185" s="72" t="s">
        <v>169</v>
      </c>
      <c r="C185" s="57" t="s">
        <v>151</v>
      </c>
      <c r="D185" s="57" t="s">
        <v>359</v>
      </c>
      <c r="E185" s="57" t="s">
        <v>304</v>
      </c>
      <c r="F185" s="57" t="s">
        <v>391</v>
      </c>
      <c r="G185" s="92">
        <f t="shared" si="10"/>
        <v>26946.48429</v>
      </c>
      <c r="H185" s="92">
        <f>H186+H189+H193</f>
        <v>23946.48429</v>
      </c>
      <c r="I185" s="92">
        <f>I186+I193</f>
        <v>3000</v>
      </c>
    </row>
    <row r="186" spans="1:9" ht="33" customHeight="1">
      <c r="A186" s="17" t="s">
        <v>364</v>
      </c>
      <c r="B186" s="21">
        <v>951</v>
      </c>
      <c r="C186" s="35" t="s">
        <v>151</v>
      </c>
      <c r="D186" s="35" t="s">
        <v>359</v>
      </c>
      <c r="E186" s="35" t="s">
        <v>472</v>
      </c>
      <c r="F186" s="35" t="s">
        <v>391</v>
      </c>
      <c r="G186" s="83">
        <f t="shared" si="10"/>
        <v>14490.181260000001</v>
      </c>
      <c r="H186" s="83">
        <f>H187</f>
        <v>14490.181260000001</v>
      </c>
      <c r="I186" s="83">
        <f>I187</f>
        <v>0</v>
      </c>
    </row>
    <row r="187" spans="1:9" ht="33" customHeight="1">
      <c r="A187" s="17" t="s">
        <v>180</v>
      </c>
      <c r="B187" s="21">
        <v>951</v>
      </c>
      <c r="C187" s="35" t="s">
        <v>151</v>
      </c>
      <c r="D187" s="35" t="s">
        <v>359</v>
      </c>
      <c r="E187" s="35" t="s">
        <v>472</v>
      </c>
      <c r="F187" s="35" t="s">
        <v>149</v>
      </c>
      <c r="G187" s="83">
        <f t="shared" si="10"/>
        <v>14490.181260000001</v>
      </c>
      <c r="H187" s="83">
        <f>H188</f>
        <v>14490.181260000001</v>
      </c>
      <c r="I187" s="83">
        <f>I188</f>
        <v>0</v>
      </c>
    </row>
    <row r="188" spans="1:9" ht="41.25" customHeight="1">
      <c r="A188" s="44" t="s">
        <v>181</v>
      </c>
      <c r="B188" s="21">
        <v>951</v>
      </c>
      <c r="C188" s="35" t="s">
        <v>151</v>
      </c>
      <c r="D188" s="35" t="s">
        <v>359</v>
      </c>
      <c r="E188" s="35" t="s">
        <v>472</v>
      </c>
      <c r="F188" s="35" t="s">
        <v>182</v>
      </c>
      <c r="G188" s="83">
        <f t="shared" si="10"/>
        <v>14490.181260000001</v>
      </c>
      <c r="H188" s="83">
        <f>5217-30.30303+9986.48429+161.18502-282-562.18502</f>
        <v>14490.181260000001</v>
      </c>
      <c r="I188" s="83"/>
    </row>
    <row r="189" spans="1:9" ht="13.5">
      <c r="A189" s="44" t="s">
        <v>191</v>
      </c>
      <c r="B189" s="21">
        <v>951</v>
      </c>
      <c r="C189" s="35" t="s">
        <v>151</v>
      </c>
      <c r="D189" s="35" t="s">
        <v>359</v>
      </c>
      <c r="E189" s="35" t="s">
        <v>471</v>
      </c>
      <c r="F189" s="35" t="s">
        <v>192</v>
      </c>
      <c r="G189" s="83">
        <f t="shared" si="10"/>
        <v>9426</v>
      </c>
      <c r="H189" s="83">
        <f>H190+H191+H192</f>
        <v>9426</v>
      </c>
      <c r="I189" s="83"/>
    </row>
    <row r="190" spans="1:9" ht="13.5">
      <c r="A190" s="44" t="s">
        <v>286</v>
      </c>
      <c r="B190" s="21">
        <v>951</v>
      </c>
      <c r="C190" s="35" t="s">
        <v>151</v>
      </c>
      <c r="D190" s="35" t="s">
        <v>359</v>
      </c>
      <c r="E190" s="35" t="s">
        <v>471</v>
      </c>
      <c r="F190" s="35" t="s">
        <v>435</v>
      </c>
      <c r="G190" s="83">
        <f t="shared" si="10"/>
        <v>9426</v>
      </c>
      <c r="H190" s="83">
        <f>9542-161.18502-517+562.18502</f>
        <v>9426</v>
      </c>
      <c r="I190" s="83"/>
    </row>
    <row r="191" spans="1:9" ht="82.5" hidden="1">
      <c r="A191" s="44" t="s">
        <v>490</v>
      </c>
      <c r="B191" s="21">
        <v>952</v>
      </c>
      <c r="C191" s="35" t="s">
        <v>151</v>
      </c>
      <c r="D191" s="35" t="s">
        <v>359</v>
      </c>
      <c r="E191" s="35" t="s">
        <v>491</v>
      </c>
      <c r="F191" s="35" t="s">
        <v>435</v>
      </c>
      <c r="G191" s="83">
        <f>H191</f>
        <v>0</v>
      </c>
      <c r="H191" s="83"/>
      <c r="I191" s="83"/>
    </row>
    <row r="192" spans="1:9" ht="82.5" hidden="1">
      <c r="A192" s="44" t="s">
        <v>494</v>
      </c>
      <c r="B192" s="21">
        <v>953</v>
      </c>
      <c r="C192" s="35" t="s">
        <v>151</v>
      </c>
      <c r="D192" s="35" t="s">
        <v>359</v>
      </c>
      <c r="E192" s="35" t="s">
        <v>491</v>
      </c>
      <c r="F192" s="35" t="s">
        <v>435</v>
      </c>
      <c r="G192" s="83">
        <f>H192</f>
        <v>0</v>
      </c>
      <c r="H192" s="83"/>
      <c r="I192" s="83"/>
    </row>
    <row r="193" spans="1:9" ht="29.25" customHeight="1">
      <c r="A193" s="54" t="s">
        <v>693</v>
      </c>
      <c r="B193" s="72">
        <v>951</v>
      </c>
      <c r="C193" s="57" t="s">
        <v>151</v>
      </c>
      <c r="D193" s="57" t="s">
        <v>359</v>
      </c>
      <c r="E193" s="57" t="s">
        <v>450</v>
      </c>
      <c r="F193" s="57" t="s">
        <v>391</v>
      </c>
      <c r="G193" s="92">
        <f>H193+I193</f>
        <v>3030.30303</v>
      </c>
      <c r="H193" s="92">
        <f>H195+H197</f>
        <v>30.30303</v>
      </c>
      <c r="I193" s="92">
        <f>I195+I197</f>
        <v>3000</v>
      </c>
    </row>
    <row r="194" spans="1:9" ht="29.25" customHeight="1">
      <c r="A194" s="17" t="s">
        <v>180</v>
      </c>
      <c r="B194" s="21">
        <v>951</v>
      </c>
      <c r="C194" s="35" t="s">
        <v>151</v>
      </c>
      <c r="D194" s="35" t="s">
        <v>359</v>
      </c>
      <c r="E194" s="35" t="s">
        <v>687</v>
      </c>
      <c r="F194" s="35" t="s">
        <v>149</v>
      </c>
      <c r="G194" s="83">
        <f>I194</f>
        <v>3000</v>
      </c>
      <c r="H194" s="83"/>
      <c r="I194" s="83">
        <f>I195</f>
        <v>3000</v>
      </c>
    </row>
    <row r="195" spans="1:9" ht="41.25">
      <c r="A195" s="44" t="s">
        <v>181</v>
      </c>
      <c r="B195" s="21">
        <v>951</v>
      </c>
      <c r="C195" s="35" t="s">
        <v>151</v>
      </c>
      <c r="D195" s="35" t="s">
        <v>359</v>
      </c>
      <c r="E195" s="35" t="s">
        <v>687</v>
      </c>
      <c r="F195" s="35" t="s">
        <v>182</v>
      </c>
      <c r="G195" s="83">
        <f>H195+I195</f>
        <v>3000</v>
      </c>
      <c r="H195" s="83"/>
      <c r="I195" s="83">
        <v>3000</v>
      </c>
    </row>
    <row r="196" spans="1:9" ht="27">
      <c r="A196" s="17" t="s">
        <v>180</v>
      </c>
      <c r="B196" s="21">
        <v>951</v>
      </c>
      <c r="C196" s="35" t="s">
        <v>151</v>
      </c>
      <c r="D196" s="35" t="s">
        <v>359</v>
      </c>
      <c r="E196" s="35" t="s">
        <v>712</v>
      </c>
      <c r="F196" s="35" t="s">
        <v>149</v>
      </c>
      <c r="G196" s="83">
        <f>H196</f>
        <v>30.30303</v>
      </c>
      <c r="H196" s="83">
        <f>H197</f>
        <v>30.30303</v>
      </c>
      <c r="I196" s="83"/>
    </row>
    <row r="197" spans="1:9" ht="41.25">
      <c r="A197" s="44" t="s">
        <v>181</v>
      </c>
      <c r="B197" s="21">
        <v>951</v>
      </c>
      <c r="C197" s="35" t="s">
        <v>151</v>
      </c>
      <c r="D197" s="35" t="s">
        <v>359</v>
      </c>
      <c r="E197" s="35" t="s">
        <v>712</v>
      </c>
      <c r="F197" s="35" t="s">
        <v>182</v>
      </c>
      <c r="G197" s="83">
        <f>H197</f>
        <v>30.30303</v>
      </c>
      <c r="H197" s="83">
        <v>30.30303</v>
      </c>
      <c r="I197" s="138"/>
    </row>
    <row r="198" spans="1:9" ht="30.75" customHeight="1">
      <c r="A198" s="54" t="s">
        <v>143</v>
      </c>
      <c r="B198" s="72" t="s">
        <v>169</v>
      </c>
      <c r="C198" s="57" t="s">
        <v>151</v>
      </c>
      <c r="D198" s="57" t="s">
        <v>359</v>
      </c>
      <c r="E198" s="57" t="s">
        <v>8</v>
      </c>
      <c r="F198" s="57" t="s">
        <v>391</v>
      </c>
      <c r="G198" s="92">
        <f t="shared" si="10"/>
        <v>120.458</v>
      </c>
      <c r="H198" s="92">
        <f>H199</f>
        <v>120.458</v>
      </c>
      <c r="I198" s="92"/>
    </row>
    <row r="199" spans="1:9" ht="31.5" customHeight="1">
      <c r="A199" s="44" t="s">
        <v>144</v>
      </c>
      <c r="B199" s="21" t="s">
        <v>169</v>
      </c>
      <c r="C199" s="35" t="s">
        <v>151</v>
      </c>
      <c r="D199" s="35" t="s">
        <v>359</v>
      </c>
      <c r="E199" s="35" t="s">
        <v>9</v>
      </c>
      <c r="F199" s="35" t="s">
        <v>391</v>
      </c>
      <c r="G199" s="83">
        <f t="shared" si="10"/>
        <v>120.458</v>
      </c>
      <c r="H199" s="83">
        <f>H200</f>
        <v>120.458</v>
      </c>
      <c r="I199" s="83"/>
    </row>
    <row r="200" spans="1:9" ht="19.5" customHeight="1">
      <c r="A200" s="17" t="s">
        <v>545</v>
      </c>
      <c r="B200" s="21" t="s">
        <v>169</v>
      </c>
      <c r="C200" s="35" t="s">
        <v>151</v>
      </c>
      <c r="D200" s="35" t="s">
        <v>359</v>
      </c>
      <c r="E200" s="21" t="s">
        <v>546</v>
      </c>
      <c r="F200" s="35" t="s">
        <v>391</v>
      </c>
      <c r="G200" s="83">
        <f t="shared" si="10"/>
        <v>120.458</v>
      </c>
      <c r="H200" s="83">
        <f>H201+H203</f>
        <v>120.458</v>
      </c>
      <c r="I200" s="83"/>
    </row>
    <row r="201" spans="1:9" ht="30.75" customHeight="1" hidden="1">
      <c r="A201" s="17" t="s">
        <v>180</v>
      </c>
      <c r="B201" s="21" t="s">
        <v>169</v>
      </c>
      <c r="C201" s="35" t="s">
        <v>151</v>
      </c>
      <c r="D201" s="35" t="s">
        <v>359</v>
      </c>
      <c r="E201" s="21" t="s">
        <v>546</v>
      </c>
      <c r="F201" s="35" t="s">
        <v>149</v>
      </c>
      <c r="G201" s="83">
        <f t="shared" si="10"/>
        <v>0</v>
      </c>
      <c r="H201" s="83">
        <f>H202</f>
        <v>0</v>
      </c>
      <c r="I201" s="83"/>
    </row>
    <row r="202" spans="1:9" ht="45" customHeight="1" hidden="1">
      <c r="A202" s="44" t="s">
        <v>181</v>
      </c>
      <c r="B202" s="21" t="s">
        <v>169</v>
      </c>
      <c r="C202" s="35" t="s">
        <v>151</v>
      </c>
      <c r="D202" s="35" t="s">
        <v>359</v>
      </c>
      <c r="E202" s="21" t="s">
        <v>546</v>
      </c>
      <c r="F202" s="35" t="s">
        <v>182</v>
      </c>
      <c r="G202" s="83">
        <f t="shared" si="10"/>
        <v>0</v>
      </c>
      <c r="H202" s="83">
        <v>0</v>
      </c>
      <c r="I202" s="83"/>
    </row>
    <row r="203" spans="1:9" ht="18" customHeight="1">
      <c r="A203" s="17" t="s">
        <v>185</v>
      </c>
      <c r="B203" s="21" t="s">
        <v>169</v>
      </c>
      <c r="C203" s="35" t="s">
        <v>151</v>
      </c>
      <c r="D203" s="35" t="s">
        <v>359</v>
      </c>
      <c r="E203" s="21" t="s">
        <v>546</v>
      </c>
      <c r="F203" s="35" t="s">
        <v>186</v>
      </c>
      <c r="G203" s="83">
        <f t="shared" si="10"/>
        <v>120.458</v>
      </c>
      <c r="H203" s="83">
        <f>H204</f>
        <v>120.458</v>
      </c>
      <c r="I203" s="83"/>
    </row>
    <row r="204" spans="1:9" ht="15" customHeight="1">
      <c r="A204" s="36" t="s">
        <v>183</v>
      </c>
      <c r="B204" s="21" t="s">
        <v>169</v>
      </c>
      <c r="C204" s="35" t="s">
        <v>151</v>
      </c>
      <c r="D204" s="35" t="s">
        <v>359</v>
      </c>
      <c r="E204" s="21" t="s">
        <v>546</v>
      </c>
      <c r="F204" s="35" t="s">
        <v>184</v>
      </c>
      <c r="G204" s="83">
        <f t="shared" si="10"/>
        <v>120.458</v>
      </c>
      <c r="H204" s="83">
        <f>80.3+40.158</f>
        <v>120.458</v>
      </c>
      <c r="I204" s="83"/>
    </row>
    <row r="205" spans="1:9" ht="27" hidden="1">
      <c r="A205" s="17" t="s">
        <v>343</v>
      </c>
      <c r="B205" s="75">
        <v>951</v>
      </c>
      <c r="C205" s="35" t="s">
        <v>151</v>
      </c>
      <c r="D205" s="35" t="s">
        <v>365</v>
      </c>
      <c r="E205" s="35" t="s">
        <v>304</v>
      </c>
      <c r="F205" s="35" t="s">
        <v>391</v>
      </c>
      <c r="G205" s="83">
        <f t="shared" si="10"/>
        <v>0</v>
      </c>
      <c r="H205" s="108">
        <f>H206</f>
        <v>0</v>
      </c>
      <c r="I205" s="108">
        <f>I206</f>
        <v>0</v>
      </c>
    </row>
    <row r="206" spans="1:9" ht="43.5" customHeight="1" hidden="1">
      <c r="A206" s="53" t="s">
        <v>447</v>
      </c>
      <c r="B206" s="75">
        <v>951</v>
      </c>
      <c r="C206" s="35" t="s">
        <v>151</v>
      </c>
      <c r="D206" s="35" t="s">
        <v>365</v>
      </c>
      <c r="E206" s="57" t="s">
        <v>448</v>
      </c>
      <c r="F206" s="35" t="s">
        <v>391</v>
      </c>
      <c r="G206" s="83">
        <f t="shared" si="10"/>
        <v>0</v>
      </c>
      <c r="H206" s="108">
        <f aca="true" t="shared" si="15" ref="H206:I208">H207</f>
        <v>0</v>
      </c>
      <c r="I206" s="108">
        <f t="shared" si="15"/>
        <v>0</v>
      </c>
    </row>
    <row r="207" spans="1:9" ht="99" customHeight="1" hidden="1">
      <c r="A207" s="17" t="s">
        <v>367</v>
      </c>
      <c r="B207" s="75">
        <v>951</v>
      </c>
      <c r="C207" s="35" t="s">
        <v>151</v>
      </c>
      <c r="D207" s="35" t="s">
        <v>365</v>
      </c>
      <c r="E207" s="35" t="s">
        <v>449</v>
      </c>
      <c r="F207" s="35" t="s">
        <v>391</v>
      </c>
      <c r="G207" s="83">
        <f t="shared" si="10"/>
        <v>0</v>
      </c>
      <c r="H207" s="108">
        <f t="shared" si="15"/>
        <v>0</v>
      </c>
      <c r="I207" s="108">
        <f t="shared" si="15"/>
        <v>0</v>
      </c>
    </row>
    <row r="208" spans="1:9" ht="16.5" customHeight="1" hidden="1">
      <c r="A208" s="17" t="s">
        <v>185</v>
      </c>
      <c r="B208" s="75">
        <v>951</v>
      </c>
      <c r="C208" s="35" t="s">
        <v>151</v>
      </c>
      <c r="D208" s="35" t="s">
        <v>365</v>
      </c>
      <c r="E208" s="35" t="s">
        <v>449</v>
      </c>
      <c r="F208" s="35" t="s">
        <v>186</v>
      </c>
      <c r="G208" s="83">
        <f t="shared" si="10"/>
        <v>0</v>
      </c>
      <c r="H208" s="108">
        <f t="shared" si="15"/>
        <v>0</v>
      </c>
      <c r="I208" s="108">
        <f t="shared" si="15"/>
        <v>0</v>
      </c>
    </row>
    <row r="209" spans="1:9" ht="48" customHeight="1" hidden="1">
      <c r="A209" s="17" t="s">
        <v>680</v>
      </c>
      <c r="B209" s="75">
        <v>951</v>
      </c>
      <c r="C209" s="35" t="s">
        <v>151</v>
      </c>
      <c r="D209" s="35" t="s">
        <v>365</v>
      </c>
      <c r="E209" s="35" t="s">
        <v>449</v>
      </c>
      <c r="F209" s="35" t="s">
        <v>369</v>
      </c>
      <c r="G209" s="83">
        <f t="shared" si="10"/>
        <v>0</v>
      </c>
      <c r="H209" s="108">
        <f>100-100</f>
        <v>0</v>
      </c>
      <c r="I209" s="108"/>
    </row>
    <row r="210" spans="1:9" ht="13.5" hidden="1">
      <c r="A210" s="53"/>
      <c r="B210" s="72"/>
      <c r="C210" s="57"/>
      <c r="D210" s="57"/>
      <c r="E210" s="57"/>
      <c r="F210" s="57"/>
      <c r="G210" s="92"/>
      <c r="H210" s="92"/>
      <c r="I210" s="92"/>
    </row>
    <row r="211" spans="1:9" ht="13.5" hidden="1">
      <c r="A211" s="44"/>
      <c r="B211" s="75"/>
      <c r="C211" s="35"/>
      <c r="D211" s="35"/>
      <c r="E211" s="35"/>
      <c r="F211" s="35"/>
      <c r="G211" s="83"/>
      <c r="H211" s="108"/>
      <c r="I211" s="108"/>
    </row>
    <row r="212" spans="1:9" ht="13.5" hidden="1">
      <c r="A212" s="44"/>
      <c r="B212" s="75"/>
      <c r="C212" s="35"/>
      <c r="D212" s="35"/>
      <c r="E212" s="35"/>
      <c r="F212" s="35"/>
      <c r="G212" s="83"/>
      <c r="H212" s="108"/>
      <c r="I212" s="108"/>
    </row>
    <row r="213" spans="1:9" ht="29.25" customHeight="1">
      <c r="A213" s="103" t="s">
        <v>370</v>
      </c>
      <c r="B213" s="171">
        <v>951</v>
      </c>
      <c r="C213" s="78" t="s">
        <v>371</v>
      </c>
      <c r="D213" s="78" t="s">
        <v>141</v>
      </c>
      <c r="E213" s="78" t="s">
        <v>304</v>
      </c>
      <c r="F213" s="78" t="s">
        <v>391</v>
      </c>
      <c r="G213" s="121">
        <f>H213+I213</f>
        <v>10235.418259999999</v>
      </c>
      <c r="H213" s="91">
        <f>H214+H248+H238</f>
        <v>7459.7919999999995</v>
      </c>
      <c r="I213" s="91">
        <f>I214+I248+I238</f>
        <v>2775.62626</v>
      </c>
    </row>
    <row r="214" spans="1:9" ht="13.5">
      <c r="A214" s="53" t="s">
        <v>344</v>
      </c>
      <c r="B214" s="72">
        <v>951</v>
      </c>
      <c r="C214" s="57" t="s">
        <v>371</v>
      </c>
      <c r="D214" s="57" t="s">
        <v>142</v>
      </c>
      <c r="E214" s="57" t="s">
        <v>304</v>
      </c>
      <c r="F214" s="57" t="s">
        <v>391</v>
      </c>
      <c r="G214" s="92">
        <f t="shared" si="10"/>
        <v>4076.3310199999996</v>
      </c>
      <c r="H214" s="92">
        <f>H215+H219+H222+H225+H230+H235</f>
        <v>1302.3999999999999</v>
      </c>
      <c r="I214" s="92">
        <f>I215+I225</f>
        <v>2773.93102</v>
      </c>
    </row>
    <row r="215" spans="1:9" ht="17.25" customHeight="1">
      <c r="A215" s="17" t="s">
        <v>345</v>
      </c>
      <c r="B215" s="21">
        <v>951</v>
      </c>
      <c r="C215" s="35" t="s">
        <v>371</v>
      </c>
      <c r="D215" s="35" t="s">
        <v>142</v>
      </c>
      <c r="E215" s="35" t="s">
        <v>21</v>
      </c>
      <c r="F215" s="35" t="s">
        <v>391</v>
      </c>
      <c r="G215" s="83">
        <f>H215+I215</f>
        <v>419.9</v>
      </c>
      <c r="H215" s="83">
        <f>H216</f>
        <v>419.9</v>
      </c>
      <c r="I215" s="83">
        <f aca="true" t="shared" si="16" ref="H215:I217">I216</f>
        <v>0</v>
      </c>
    </row>
    <row r="216" spans="1:9" ht="27">
      <c r="A216" s="17" t="s">
        <v>547</v>
      </c>
      <c r="B216" s="21">
        <v>951</v>
      </c>
      <c r="C216" s="35" t="s">
        <v>371</v>
      </c>
      <c r="D216" s="35" t="s">
        <v>142</v>
      </c>
      <c r="E216" s="35" t="s">
        <v>21</v>
      </c>
      <c r="F216" s="35" t="s">
        <v>391</v>
      </c>
      <c r="G216" s="83">
        <f t="shared" si="10"/>
        <v>419.9</v>
      </c>
      <c r="H216" s="83">
        <f t="shared" si="16"/>
        <v>419.9</v>
      </c>
      <c r="I216" s="83">
        <f t="shared" si="16"/>
        <v>0</v>
      </c>
    </row>
    <row r="217" spans="1:9" ht="30" customHeight="1">
      <c r="A217" s="17" t="s">
        <v>180</v>
      </c>
      <c r="B217" s="21">
        <v>951</v>
      </c>
      <c r="C217" s="35" t="s">
        <v>371</v>
      </c>
      <c r="D217" s="35" t="s">
        <v>142</v>
      </c>
      <c r="E217" s="35" t="s">
        <v>21</v>
      </c>
      <c r="F217" s="35" t="s">
        <v>149</v>
      </c>
      <c r="G217" s="83">
        <f t="shared" si="10"/>
        <v>419.9</v>
      </c>
      <c r="H217" s="83">
        <f t="shared" si="16"/>
        <v>419.9</v>
      </c>
      <c r="I217" s="83">
        <f t="shared" si="16"/>
        <v>0</v>
      </c>
    </row>
    <row r="218" spans="1:9" ht="43.5" customHeight="1">
      <c r="A218" s="44" t="s">
        <v>181</v>
      </c>
      <c r="B218" s="21">
        <v>951</v>
      </c>
      <c r="C218" s="35" t="s">
        <v>371</v>
      </c>
      <c r="D218" s="35" t="s">
        <v>142</v>
      </c>
      <c r="E218" s="35" t="s">
        <v>21</v>
      </c>
      <c r="F218" s="35" t="s">
        <v>182</v>
      </c>
      <c r="G218" s="83">
        <f t="shared" si="10"/>
        <v>419.9</v>
      </c>
      <c r="H218" s="83">
        <f>503.9-154+70</f>
        <v>419.9</v>
      </c>
      <c r="I218" s="83"/>
    </row>
    <row r="219" spans="1:9" ht="27">
      <c r="A219" s="17" t="s">
        <v>468</v>
      </c>
      <c r="B219" s="21">
        <v>951</v>
      </c>
      <c r="C219" s="35" t="s">
        <v>371</v>
      </c>
      <c r="D219" s="35" t="s">
        <v>142</v>
      </c>
      <c r="E219" s="35" t="s">
        <v>89</v>
      </c>
      <c r="F219" s="35" t="s">
        <v>391</v>
      </c>
      <c r="G219" s="83">
        <f t="shared" si="10"/>
        <v>670.9</v>
      </c>
      <c r="H219" s="83">
        <f>H220</f>
        <v>670.9</v>
      </c>
      <c r="I219" s="83"/>
    </row>
    <row r="220" spans="1:9" ht="27">
      <c r="A220" s="17" t="s">
        <v>180</v>
      </c>
      <c r="B220" s="21">
        <v>951</v>
      </c>
      <c r="C220" s="35" t="s">
        <v>371</v>
      </c>
      <c r="D220" s="35" t="s">
        <v>142</v>
      </c>
      <c r="E220" s="35" t="s">
        <v>89</v>
      </c>
      <c r="F220" s="35" t="s">
        <v>149</v>
      </c>
      <c r="G220" s="83">
        <f t="shared" si="10"/>
        <v>670.9</v>
      </c>
      <c r="H220" s="83">
        <f>H221</f>
        <v>670.9</v>
      </c>
      <c r="I220" s="83"/>
    </row>
    <row r="221" spans="1:9" ht="41.25">
      <c r="A221" s="44" t="s">
        <v>181</v>
      </c>
      <c r="B221" s="21">
        <v>951</v>
      </c>
      <c r="C221" s="35" t="s">
        <v>371</v>
      </c>
      <c r="D221" s="35" t="s">
        <v>142</v>
      </c>
      <c r="E221" s="35" t="s">
        <v>89</v>
      </c>
      <c r="F221" s="35" t="s">
        <v>182</v>
      </c>
      <c r="G221" s="83">
        <f t="shared" si="10"/>
        <v>670.9</v>
      </c>
      <c r="H221" s="83">
        <f>655.9+15</f>
        <v>670.9</v>
      </c>
      <c r="I221" s="83"/>
    </row>
    <row r="222" spans="1:9" ht="41.25" hidden="1">
      <c r="A222" s="54" t="s">
        <v>721</v>
      </c>
      <c r="B222" s="72">
        <v>951</v>
      </c>
      <c r="C222" s="57" t="s">
        <v>371</v>
      </c>
      <c r="D222" s="57" t="s">
        <v>142</v>
      </c>
      <c r="E222" s="57" t="s">
        <v>722</v>
      </c>
      <c r="F222" s="57" t="s">
        <v>391</v>
      </c>
      <c r="G222" s="92">
        <f t="shared" si="10"/>
        <v>0</v>
      </c>
      <c r="H222" s="92">
        <f>H223</f>
        <v>0</v>
      </c>
      <c r="I222" s="83"/>
    </row>
    <row r="223" spans="1:9" ht="27" hidden="1">
      <c r="A223" s="17" t="s">
        <v>180</v>
      </c>
      <c r="B223" s="21">
        <v>951</v>
      </c>
      <c r="C223" s="35" t="s">
        <v>371</v>
      </c>
      <c r="D223" s="35" t="s">
        <v>142</v>
      </c>
      <c r="E223" s="35" t="s">
        <v>722</v>
      </c>
      <c r="F223" s="35" t="s">
        <v>149</v>
      </c>
      <c r="G223" s="83">
        <f t="shared" si="10"/>
        <v>0</v>
      </c>
      <c r="H223" s="83">
        <f>H224</f>
        <v>0</v>
      </c>
      <c r="I223" s="83"/>
    </row>
    <row r="224" spans="1:9" ht="41.25" hidden="1">
      <c r="A224" s="44" t="s">
        <v>181</v>
      </c>
      <c r="B224" s="21">
        <v>951</v>
      </c>
      <c r="C224" s="35" t="s">
        <v>371</v>
      </c>
      <c r="D224" s="35" t="s">
        <v>142</v>
      </c>
      <c r="E224" s="35" t="s">
        <v>722</v>
      </c>
      <c r="F224" s="35" t="s">
        <v>182</v>
      </c>
      <c r="G224" s="83">
        <f t="shared" si="10"/>
        <v>0</v>
      </c>
      <c r="H224" s="83">
        <v>0</v>
      </c>
      <c r="I224" s="83"/>
    </row>
    <row r="225" spans="1:9" ht="69.75" customHeight="1">
      <c r="A225" s="53" t="s">
        <v>548</v>
      </c>
      <c r="B225" s="72" t="s">
        <v>169</v>
      </c>
      <c r="C225" s="57" t="s">
        <v>371</v>
      </c>
      <c r="D225" s="57" t="s">
        <v>142</v>
      </c>
      <c r="E225" s="57" t="s">
        <v>549</v>
      </c>
      <c r="F225" s="57" t="s">
        <v>391</v>
      </c>
      <c r="G225" s="92">
        <f t="shared" si="10"/>
        <v>2803.93102</v>
      </c>
      <c r="H225" s="92">
        <f>H226</f>
        <v>30</v>
      </c>
      <c r="I225" s="92">
        <f>I226</f>
        <v>2773.93102</v>
      </c>
    </row>
    <row r="226" spans="1:9" ht="54.75">
      <c r="A226" s="44" t="s">
        <v>550</v>
      </c>
      <c r="B226" s="21" t="s">
        <v>169</v>
      </c>
      <c r="C226" s="35" t="s">
        <v>371</v>
      </c>
      <c r="D226" s="35" t="s">
        <v>142</v>
      </c>
      <c r="E226" s="35" t="s">
        <v>549</v>
      </c>
      <c r="F226" s="35" t="s">
        <v>391</v>
      </c>
      <c r="G226" s="83">
        <f t="shared" si="10"/>
        <v>2803.93102</v>
      </c>
      <c r="H226" s="83">
        <f>H227</f>
        <v>30</v>
      </c>
      <c r="I226" s="83">
        <f>I227</f>
        <v>2773.93102</v>
      </c>
    </row>
    <row r="227" spans="1:9" ht="13.5">
      <c r="A227" s="17" t="s">
        <v>185</v>
      </c>
      <c r="B227" s="21" t="s">
        <v>169</v>
      </c>
      <c r="C227" s="35" t="s">
        <v>371</v>
      </c>
      <c r="D227" s="35" t="s">
        <v>142</v>
      </c>
      <c r="E227" s="35" t="s">
        <v>549</v>
      </c>
      <c r="F227" s="35" t="s">
        <v>186</v>
      </c>
      <c r="G227" s="83">
        <f t="shared" si="10"/>
        <v>2803.93102</v>
      </c>
      <c r="H227" s="83">
        <f>H229</f>
        <v>30</v>
      </c>
      <c r="I227" s="83">
        <f>I228</f>
        <v>2773.93102</v>
      </c>
    </row>
    <row r="228" spans="1:9" ht="41.25" customHeight="1">
      <c r="A228" s="17" t="s">
        <v>683</v>
      </c>
      <c r="B228" s="21" t="s">
        <v>169</v>
      </c>
      <c r="C228" s="35" t="s">
        <v>371</v>
      </c>
      <c r="D228" s="35" t="s">
        <v>142</v>
      </c>
      <c r="E228" s="35" t="s">
        <v>551</v>
      </c>
      <c r="F228" s="35" t="s">
        <v>369</v>
      </c>
      <c r="G228" s="83">
        <f t="shared" si="10"/>
        <v>2773.93102</v>
      </c>
      <c r="H228" s="83"/>
      <c r="I228" s="83">
        <f>1382.48629+1391.44473</f>
        <v>2773.93102</v>
      </c>
    </row>
    <row r="229" spans="1:9" ht="43.5" customHeight="1">
      <c r="A229" s="17" t="s">
        <v>684</v>
      </c>
      <c r="B229" s="21" t="s">
        <v>169</v>
      </c>
      <c r="C229" s="35" t="s">
        <v>371</v>
      </c>
      <c r="D229" s="35" t="s">
        <v>142</v>
      </c>
      <c r="E229" s="35" t="s">
        <v>711</v>
      </c>
      <c r="F229" s="35" t="s">
        <v>369</v>
      </c>
      <c r="G229" s="83">
        <f t="shared" si="10"/>
        <v>30</v>
      </c>
      <c r="H229" s="83">
        <f>20+10</f>
        <v>30</v>
      </c>
      <c r="I229" s="83"/>
    </row>
    <row r="230" spans="1:9" ht="33" customHeight="1">
      <c r="A230" s="54" t="s">
        <v>143</v>
      </c>
      <c r="B230" s="21" t="s">
        <v>169</v>
      </c>
      <c r="C230" s="35" t="s">
        <v>371</v>
      </c>
      <c r="D230" s="35" t="s">
        <v>142</v>
      </c>
      <c r="E230" s="57" t="s">
        <v>8</v>
      </c>
      <c r="F230" s="57" t="s">
        <v>391</v>
      </c>
      <c r="G230" s="92">
        <f t="shared" si="10"/>
        <v>100</v>
      </c>
      <c r="H230" s="92">
        <f>H231</f>
        <v>100</v>
      </c>
      <c r="I230" s="83"/>
    </row>
    <row r="231" spans="1:9" ht="30.75" customHeight="1">
      <c r="A231" s="44" t="s">
        <v>144</v>
      </c>
      <c r="B231" s="21" t="s">
        <v>169</v>
      </c>
      <c r="C231" s="35" t="s">
        <v>371</v>
      </c>
      <c r="D231" s="35" t="s">
        <v>142</v>
      </c>
      <c r="E231" s="35" t="s">
        <v>9</v>
      </c>
      <c r="F231" s="35" t="s">
        <v>391</v>
      </c>
      <c r="G231" s="83">
        <f t="shared" si="10"/>
        <v>100</v>
      </c>
      <c r="H231" s="83">
        <f>H232</f>
        <v>100</v>
      </c>
      <c r="I231" s="83"/>
    </row>
    <row r="232" spans="1:9" ht="100.5">
      <c r="A232" s="73" t="s">
        <v>552</v>
      </c>
      <c r="B232" s="85" t="s">
        <v>169</v>
      </c>
      <c r="C232" s="71" t="s">
        <v>371</v>
      </c>
      <c r="D232" s="71" t="s">
        <v>142</v>
      </c>
      <c r="E232" s="71" t="s">
        <v>553</v>
      </c>
      <c r="F232" s="71" t="s">
        <v>391</v>
      </c>
      <c r="G232" s="86">
        <f t="shared" si="10"/>
        <v>100</v>
      </c>
      <c r="H232" s="86">
        <f>H233</f>
        <v>100</v>
      </c>
      <c r="I232" s="86"/>
    </row>
    <row r="233" spans="1:9" ht="27">
      <c r="A233" s="17" t="s">
        <v>180</v>
      </c>
      <c r="B233" s="21" t="s">
        <v>169</v>
      </c>
      <c r="C233" s="35" t="s">
        <v>371</v>
      </c>
      <c r="D233" s="35" t="s">
        <v>142</v>
      </c>
      <c r="E233" s="35" t="s">
        <v>553</v>
      </c>
      <c r="F233" s="35" t="s">
        <v>149</v>
      </c>
      <c r="G233" s="83">
        <f t="shared" si="10"/>
        <v>100</v>
      </c>
      <c r="H233" s="83">
        <f>H234</f>
        <v>100</v>
      </c>
      <c r="I233" s="83"/>
    </row>
    <row r="234" spans="1:9" ht="45" customHeight="1">
      <c r="A234" s="44" t="s">
        <v>181</v>
      </c>
      <c r="B234" s="21" t="s">
        <v>169</v>
      </c>
      <c r="C234" s="35" t="s">
        <v>371</v>
      </c>
      <c r="D234" s="35" t="s">
        <v>142</v>
      </c>
      <c r="E234" s="35" t="s">
        <v>553</v>
      </c>
      <c r="F234" s="35" t="s">
        <v>182</v>
      </c>
      <c r="G234" s="83">
        <f t="shared" si="10"/>
        <v>100</v>
      </c>
      <c r="H234" s="83">
        <f>250-150</f>
        <v>100</v>
      </c>
      <c r="I234" s="83"/>
    </row>
    <row r="235" spans="1:9" ht="57.75" customHeight="1">
      <c r="A235" s="54" t="s">
        <v>506</v>
      </c>
      <c r="B235" s="72" t="s">
        <v>169</v>
      </c>
      <c r="C235" s="57" t="s">
        <v>371</v>
      </c>
      <c r="D235" s="57" t="s">
        <v>142</v>
      </c>
      <c r="E235" s="57" t="s">
        <v>304</v>
      </c>
      <c r="F235" s="57" t="s">
        <v>391</v>
      </c>
      <c r="G235" s="92">
        <f t="shared" si="10"/>
        <v>81.6</v>
      </c>
      <c r="H235" s="92">
        <f>H236</f>
        <v>81.6</v>
      </c>
      <c r="I235" s="92"/>
    </row>
    <row r="236" spans="1:9" ht="27.75" customHeight="1">
      <c r="A236" s="74" t="s">
        <v>180</v>
      </c>
      <c r="B236" s="75" t="s">
        <v>169</v>
      </c>
      <c r="C236" s="24" t="s">
        <v>371</v>
      </c>
      <c r="D236" s="24" t="s">
        <v>142</v>
      </c>
      <c r="E236" s="35" t="s">
        <v>637</v>
      </c>
      <c r="F236" s="35" t="s">
        <v>149</v>
      </c>
      <c r="G236" s="108">
        <f t="shared" si="10"/>
        <v>81.6</v>
      </c>
      <c r="H236" s="108">
        <f>H237</f>
        <v>81.6</v>
      </c>
      <c r="I236" s="83"/>
    </row>
    <row r="237" spans="1:9" ht="42" customHeight="1">
      <c r="A237" s="76" t="s">
        <v>181</v>
      </c>
      <c r="B237" s="75" t="s">
        <v>169</v>
      </c>
      <c r="C237" s="24" t="s">
        <v>371</v>
      </c>
      <c r="D237" s="24" t="s">
        <v>142</v>
      </c>
      <c r="E237" s="35" t="s">
        <v>637</v>
      </c>
      <c r="F237" s="35" t="s">
        <v>182</v>
      </c>
      <c r="G237" s="108">
        <f t="shared" si="10"/>
        <v>81.6</v>
      </c>
      <c r="H237" s="108">
        <f>31.6+50</f>
        <v>81.6</v>
      </c>
      <c r="I237" s="83"/>
    </row>
    <row r="238" spans="1:9" ht="13.5">
      <c r="A238" s="54" t="s">
        <v>375</v>
      </c>
      <c r="B238" s="72">
        <v>951</v>
      </c>
      <c r="C238" s="57" t="s">
        <v>371</v>
      </c>
      <c r="D238" s="57" t="s">
        <v>147</v>
      </c>
      <c r="E238" s="57" t="s">
        <v>304</v>
      </c>
      <c r="F238" s="57" t="s">
        <v>391</v>
      </c>
      <c r="G238" s="92">
        <f>H238+I238</f>
        <v>2135.2619999999997</v>
      </c>
      <c r="H238" s="92">
        <f>H239+H243</f>
        <v>2135.2619999999997</v>
      </c>
      <c r="I238" s="92">
        <f>I239+I243</f>
        <v>0</v>
      </c>
    </row>
    <row r="239" spans="1:9" ht="13.5">
      <c r="A239" s="44" t="s">
        <v>376</v>
      </c>
      <c r="B239" s="21">
        <v>951</v>
      </c>
      <c r="C239" s="35" t="s">
        <v>371</v>
      </c>
      <c r="D239" s="35" t="s">
        <v>147</v>
      </c>
      <c r="E239" s="35" t="s">
        <v>22</v>
      </c>
      <c r="F239" s="35" t="s">
        <v>391</v>
      </c>
      <c r="G239" s="83">
        <f>H239+I239</f>
        <v>25.659999999999997</v>
      </c>
      <c r="H239" s="83">
        <f>H240</f>
        <v>25.659999999999997</v>
      </c>
      <c r="I239" s="83">
        <f>I240</f>
        <v>0</v>
      </c>
    </row>
    <row r="240" spans="1:9" ht="27">
      <c r="A240" s="17" t="s">
        <v>180</v>
      </c>
      <c r="B240" s="21">
        <v>951</v>
      </c>
      <c r="C240" s="35" t="s">
        <v>371</v>
      </c>
      <c r="D240" s="35" t="s">
        <v>147</v>
      </c>
      <c r="E240" s="35" t="s">
        <v>22</v>
      </c>
      <c r="F240" s="35" t="s">
        <v>149</v>
      </c>
      <c r="G240" s="83">
        <f t="shared" si="10"/>
        <v>25.659999999999997</v>
      </c>
      <c r="H240" s="83">
        <f>H241</f>
        <v>25.659999999999997</v>
      </c>
      <c r="I240" s="83">
        <f>I241</f>
        <v>0</v>
      </c>
    </row>
    <row r="241" spans="1:9" ht="41.25">
      <c r="A241" s="44" t="s">
        <v>181</v>
      </c>
      <c r="B241" s="21">
        <v>951</v>
      </c>
      <c r="C241" s="35" t="s">
        <v>371</v>
      </c>
      <c r="D241" s="35" t="s">
        <v>147</v>
      </c>
      <c r="E241" s="35" t="s">
        <v>22</v>
      </c>
      <c r="F241" s="35" t="s">
        <v>182</v>
      </c>
      <c r="G241" s="83">
        <f t="shared" si="10"/>
        <v>25.659999999999997</v>
      </c>
      <c r="H241" s="83">
        <f>90-15-49.34</f>
        <v>25.659999999999997</v>
      </c>
      <c r="I241" s="83"/>
    </row>
    <row r="242" spans="1:9" ht="13.5" hidden="1">
      <c r="A242" s="44"/>
      <c r="B242" s="21"/>
      <c r="C242" s="35"/>
      <c r="D242" s="35"/>
      <c r="E242" s="35"/>
      <c r="F242" s="35"/>
      <c r="G242" s="83"/>
      <c r="H242" s="83"/>
      <c r="I242" s="83"/>
    </row>
    <row r="243" spans="1:9" ht="15.75" customHeight="1">
      <c r="A243" s="44" t="s">
        <v>377</v>
      </c>
      <c r="B243" s="21">
        <v>951</v>
      </c>
      <c r="C243" s="35" t="s">
        <v>371</v>
      </c>
      <c r="D243" s="35" t="s">
        <v>147</v>
      </c>
      <c r="E243" s="35" t="s">
        <v>23</v>
      </c>
      <c r="F243" s="35" t="s">
        <v>391</v>
      </c>
      <c r="G243" s="83">
        <f t="shared" si="10"/>
        <v>2109.602</v>
      </c>
      <c r="H243" s="83">
        <f>H244+H246</f>
        <v>2109.602</v>
      </c>
      <c r="I243" s="83">
        <f>I244</f>
        <v>0</v>
      </c>
    </row>
    <row r="244" spans="1:9" ht="27">
      <c r="A244" s="17" t="s">
        <v>180</v>
      </c>
      <c r="B244" s="21">
        <v>951</v>
      </c>
      <c r="C244" s="35" t="s">
        <v>371</v>
      </c>
      <c r="D244" s="35" t="s">
        <v>147</v>
      </c>
      <c r="E244" s="35" t="s">
        <v>23</v>
      </c>
      <c r="F244" s="35" t="s">
        <v>149</v>
      </c>
      <c r="G244" s="83">
        <f t="shared" si="10"/>
        <v>1813.004</v>
      </c>
      <c r="H244" s="83">
        <f>H245</f>
        <v>1813.004</v>
      </c>
      <c r="I244" s="83">
        <f>I245</f>
        <v>0</v>
      </c>
    </row>
    <row r="245" spans="1:9" ht="41.25">
      <c r="A245" s="44" t="s">
        <v>181</v>
      </c>
      <c r="B245" s="21">
        <v>951</v>
      </c>
      <c r="C245" s="35" t="s">
        <v>371</v>
      </c>
      <c r="D245" s="35" t="s">
        <v>147</v>
      </c>
      <c r="E245" s="35" t="s">
        <v>23</v>
      </c>
      <c r="F245" s="35" t="s">
        <v>182</v>
      </c>
      <c r="G245" s="83">
        <f t="shared" si="10"/>
        <v>1813.004</v>
      </c>
      <c r="H245" s="83">
        <f>100+1950.4+0.004-65-172.4</f>
        <v>1813.004</v>
      </c>
      <c r="I245" s="83"/>
    </row>
    <row r="246" spans="1:9" ht="41.25">
      <c r="A246" s="44" t="s">
        <v>572</v>
      </c>
      <c r="B246" s="21" t="s">
        <v>169</v>
      </c>
      <c r="C246" s="35" t="s">
        <v>371</v>
      </c>
      <c r="D246" s="35" t="s">
        <v>147</v>
      </c>
      <c r="E246" s="35" t="s">
        <v>23</v>
      </c>
      <c r="F246" s="35" t="s">
        <v>573</v>
      </c>
      <c r="G246" s="83">
        <f>H246</f>
        <v>296.598</v>
      </c>
      <c r="H246" s="83">
        <f>H247</f>
        <v>296.598</v>
      </c>
      <c r="I246" s="83"/>
    </row>
    <row r="247" spans="1:9" ht="13.5">
      <c r="A247" s="44" t="s">
        <v>574</v>
      </c>
      <c r="B247" s="21" t="s">
        <v>169</v>
      </c>
      <c r="C247" s="35" t="s">
        <v>371</v>
      </c>
      <c r="D247" s="35" t="s">
        <v>147</v>
      </c>
      <c r="E247" s="35" t="s">
        <v>23</v>
      </c>
      <c r="F247" s="35" t="s">
        <v>575</v>
      </c>
      <c r="G247" s="83">
        <f>H247</f>
        <v>296.598</v>
      </c>
      <c r="H247" s="83">
        <v>296.598</v>
      </c>
      <c r="I247" s="83"/>
    </row>
    <row r="248" spans="1:9" ht="27">
      <c r="A248" s="17" t="s">
        <v>348</v>
      </c>
      <c r="B248" s="21">
        <v>951</v>
      </c>
      <c r="C248" s="35" t="s">
        <v>371</v>
      </c>
      <c r="D248" s="35" t="s">
        <v>371</v>
      </c>
      <c r="E248" s="35" t="s">
        <v>304</v>
      </c>
      <c r="F248" s="35" t="s">
        <v>391</v>
      </c>
      <c r="G248" s="83">
        <f t="shared" si="10"/>
        <v>4023.82524</v>
      </c>
      <c r="H248" s="83">
        <f aca="true" t="shared" si="17" ref="H248:I250">H249</f>
        <v>4022.13</v>
      </c>
      <c r="I248" s="83">
        <f>I249+I256</f>
        <v>1.69524</v>
      </c>
    </row>
    <row r="249" spans="1:9" ht="27">
      <c r="A249" s="17" t="s">
        <v>143</v>
      </c>
      <c r="B249" s="21">
        <v>951</v>
      </c>
      <c r="C249" s="35" t="s">
        <v>371</v>
      </c>
      <c r="D249" s="35" t="s">
        <v>371</v>
      </c>
      <c r="E249" s="35" t="s">
        <v>8</v>
      </c>
      <c r="F249" s="35" t="s">
        <v>391</v>
      </c>
      <c r="G249" s="83">
        <f t="shared" si="10"/>
        <v>4022.13</v>
      </c>
      <c r="H249" s="83">
        <f t="shared" si="17"/>
        <v>4022.13</v>
      </c>
      <c r="I249" s="83">
        <f t="shared" si="17"/>
        <v>0</v>
      </c>
    </row>
    <row r="250" spans="1:9" ht="41.25">
      <c r="A250" s="17" t="s">
        <v>144</v>
      </c>
      <c r="B250" s="21">
        <v>951</v>
      </c>
      <c r="C250" s="35" t="s">
        <v>371</v>
      </c>
      <c r="D250" s="35" t="s">
        <v>371</v>
      </c>
      <c r="E250" s="35" t="s">
        <v>9</v>
      </c>
      <c r="F250" s="35" t="s">
        <v>391</v>
      </c>
      <c r="G250" s="83">
        <f t="shared" si="10"/>
        <v>4022.13</v>
      </c>
      <c r="H250" s="83">
        <f t="shared" si="17"/>
        <v>4022.13</v>
      </c>
      <c r="I250" s="83">
        <f t="shared" si="17"/>
        <v>0</v>
      </c>
    </row>
    <row r="251" spans="1:11" ht="41.25">
      <c r="A251" s="17" t="s">
        <v>372</v>
      </c>
      <c r="B251" s="21">
        <v>951</v>
      </c>
      <c r="C251" s="35" t="s">
        <v>371</v>
      </c>
      <c r="D251" s="35" t="s">
        <v>371</v>
      </c>
      <c r="E251" s="35" t="s">
        <v>12</v>
      </c>
      <c r="F251" s="35" t="s">
        <v>391</v>
      </c>
      <c r="G251" s="83">
        <f t="shared" si="10"/>
        <v>4022.13</v>
      </c>
      <c r="H251" s="83">
        <f>H252+H254</f>
        <v>4022.13</v>
      </c>
      <c r="I251" s="83">
        <f>I252+I254</f>
        <v>0</v>
      </c>
      <c r="J251" s="295"/>
      <c r="K251" s="82"/>
    </row>
    <row r="252" spans="1:9" ht="82.5">
      <c r="A252" s="17" t="s">
        <v>177</v>
      </c>
      <c r="B252" s="21">
        <v>951</v>
      </c>
      <c r="C252" s="35" t="s">
        <v>371</v>
      </c>
      <c r="D252" s="35" t="s">
        <v>371</v>
      </c>
      <c r="E252" s="35" t="s">
        <v>12</v>
      </c>
      <c r="F252" s="35" t="s">
        <v>145</v>
      </c>
      <c r="G252" s="83">
        <f t="shared" si="10"/>
        <v>3822.5</v>
      </c>
      <c r="H252" s="83">
        <f>H253</f>
        <v>3822.5</v>
      </c>
      <c r="I252" s="83">
        <f>I253</f>
        <v>0</v>
      </c>
    </row>
    <row r="253" spans="1:9" ht="27">
      <c r="A253" s="44" t="s">
        <v>179</v>
      </c>
      <c r="B253" s="21">
        <v>951</v>
      </c>
      <c r="C253" s="35" t="s">
        <v>371</v>
      </c>
      <c r="D253" s="35" t="s">
        <v>371</v>
      </c>
      <c r="E253" s="35" t="s">
        <v>12</v>
      </c>
      <c r="F253" s="35" t="s">
        <v>178</v>
      </c>
      <c r="G253" s="83">
        <f t="shared" si="10"/>
        <v>3822.5</v>
      </c>
      <c r="H253" s="83">
        <f>2717+45+820.5+160+80</f>
        <v>3822.5</v>
      </c>
      <c r="I253" s="83"/>
    </row>
    <row r="254" spans="1:9" ht="27">
      <c r="A254" s="17" t="s">
        <v>180</v>
      </c>
      <c r="B254" s="21">
        <v>951</v>
      </c>
      <c r="C254" s="35" t="s">
        <v>371</v>
      </c>
      <c r="D254" s="35" t="s">
        <v>371</v>
      </c>
      <c r="E254" s="35" t="s">
        <v>12</v>
      </c>
      <c r="F254" s="35" t="s">
        <v>149</v>
      </c>
      <c r="G254" s="83">
        <f t="shared" si="10"/>
        <v>199.63</v>
      </c>
      <c r="H254" s="83">
        <f>H255</f>
        <v>199.63</v>
      </c>
      <c r="I254" s="83">
        <f>I255</f>
        <v>0</v>
      </c>
    </row>
    <row r="255" spans="1:9" ht="41.25">
      <c r="A255" s="44" t="s">
        <v>181</v>
      </c>
      <c r="B255" s="21">
        <v>951</v>
      </c>
      <c r="C255" s="35" t="s">
        <v>371</v>
      </c>
      <c r="D255" s="35" t="s">
        <v>371</v>
      </c>
      <c r="E255" s="35" t="s">
        <v>12</v>
      </c>
      <c r="F255" s="35" t="s">
        <v>182</v>
      </c>
      <c r="G255" s="83">
        <f t="shared" si="10"/>
        <v>199.63</v>
      </c>
      <c r="H255" s="83">
        <f>58.63+15+65+25+9.6+24+2.4</f>
        <v>199.63</v>
      </c>
      <c r="I255" s="83"/>
    </row>
    <row r="256" spans="1:9" ht="69">
      <c r="A256" s="44" t="s">
        <v>708</v>
      </c>
      <c r="B256" s="21" t="s">
        <v>169</v>
      </c>
      <c r="C256" s="35" t="s">
        <v>371</v>
      </c>
      <c r="D256" s="35" t="s">
        <v>371</v>
      </c>
      <c r="E256" s="35" t="s">
        <v>24</v>
      </c>
      <c r="F256" s="35" t="s">
        <v>391</v>
      </c>
      <c r="G256" s="83">
        <f t="shared" si="10"/>
        <v>1.69524</v>
      </c>
      <c r="H256" s="83"/>
      <c r="I256" s="83">
        <f>I257</f>
        <v>1.69524</v>
      </c>
    </row>
    <row r="257" spans="1:9" ht="83.25" customHeight="1">
      <c r="A257" s="44" t="s">
        <v>346</v>
      </c>
      <c r="B257" s="21" t="s">
        <v>169</v>
      </c>
      <c r="C257" s="35" t="s">
        <v>371</v>
      </c>
      <c r="D257" s="35" t="s">
        <v>371</v>
      </c>
      <c r="E257" s="35" t="s">
        <v>24</v>
      </c>
      <c r="F257" s="35" t="s">
        <v>145</v>
      </c>
      <c r="G257" s="83">
        <f t="shared" si="10"/>
        <v>1.69524</v>
      </c>
      <c r="H257" s="83"/>
      <c r="I257" s="83">
        <f>I258</f>
        <v>1.69524</v>
      </c>
    </row>
    <row r="258" spans="1:9" ht="27">
      <c r="A258" s="44" t="s">
        <v>179</v>
      </c>
      <c r="B258" s="21" t="s">
        <v>169</v>
      </c>
      <c r="C258" s="35" t="s">
        <v>371</v>
      </c>
      <c r="D258" s="35" t="s">
        <v>371</v>
      </c>
      <c r="E258" s="35" t="s">
        <v>24</v>
      </c>
      <c r="F258" s="35" t="s">
        <v>178</v>
      </c>
      <c r="G258" s="83">
        <f t="shared" si="10"/>
        <v>1.69524</v>
      </c>
      <c r="H258" s="83"/>
      <c r="I258" s="83">
        <v>1.69524</v>
      </c>
    </row>
    <row r="259" spans="1:9" ht="27" hidden="1">
      <c r="A259" s="44" t="s">
        <v>180</v>
      </c>
      <c r="B259" s="21" t="s">
        <v>169</v>
      </c>
      <c r="C259" s="35" t="s">
        <v>371</v>
      </c>
      <c r="D259" s="35" t="s">
        <v>371</v>
      </c>
      <c r="E259" s="35" t="s">
        <v>24</v>
      </c>
      <c r="F259" s="35" t="s">
        <v>149</v>
      </c>
      <c r="G259" s="83">
        <f t="shared" si="10"/>
        <v>0</v>
      </c>
      <c r="H259" s="83"/>
      <c r="I259" s="83">
        <f>I260</f>
        <v>0</v>
      </c>
    </row>
    <row r="260" spans="1:9" ht="41.25" hidden="1">
      <c r="A260" s="44" t="s">
        <v>181</v>
      </c>
      <c r="B260" s="21" t="s">
        <v>169</v>
      </c>
      <c r="C260" s="35" t="s">
        <v>371</v>
      </c>
      <c r="D260" s="35" t="s">
        <v>371</v>
      </c>
      <c r="E260" s="35" t="s">
        <v>24</v>
      </c>
      <c r="F260" s="35" t="s">
        <v>182</v>
      </c>
      <c r="G260" s="83">
        <f t="shared" si="10"/>
        <v>0</v>
      </c>
      <c r="H260" s="83"/>
      <c r="I260" s="83"/>
    </row>
    <row r="261" spans="1:9" ht="13.5">
      <c r="A261" s="245" t="s">
        <v>349</v>
      </c>
      <c r="B261" s="171">
        <v>951</v>
      </c>
      <c r="C261" s="171" t="s">
        <v>374</v>
      </c>
      <c r="D261" s="171" t="s">
        <v>141</v>
      </c>
      <c r="E261" s="171" t="s">
        <v>304</v>
      </c>
      <c r="F261" s="171" t="s">
        <v>391</v>
      </c>
      <c r="G261" s="121">
        <f>I261+H261</f>
        <v>19772.265150000003</v>
      </c>
      <c r="H261" s="91">
        <f>H273+H296+H300+H303</f>
        <v>17889.762150000002</v>
      </c>
      <c r="I261" s="91">
        <f>I273+I296+I300+I303+I310</f>
        <v>1882.5029999999997</v>
      </c>
    </row>
    <row r="262" spans="1:9" ht="13.5" hidden="1">
      <c r="A262" s="99" t="s">
        <v>164</v>
      </c>
      <c r="B262" s="75">
        <v>951</v>
      </c>
      <c r="C262" s="24" t="s">
        <v>374</v>
      </c>
      <c r="D262" s="24" t="s">
        <v>142</v>
      </c>
      <c r="E262" s="75" t="s">
        <v>304</v>
      </c>
      <c r="F262" s="75" t="s">
        <v>391</v>
      </c>
      <c r="G262" s="108">
        <f>H262+I262</f>
        <v>0</v>
      </c>
      <c r="H262" s="108">
        <f>H263</f>
        <v>0</v>
      </c>
      <c r="I262" s="108">
        <f>I263</f>
        <v>0</v>
      </c>
    </row>
    <row r="263" spans="1:9" ht="27" hidden="1">
      <c r="A263" s="100" t="s">
        <v>273</v>
      </c>
      <c r="B263" s="75">
        <v>951</v>
      </c>
      <c r="C263" s="24" t="s">
        <v>374</v>
      </c>
      <c r="D263" s="24" t="s">
        <v>142</v>
      </c>
      <c r="E263" s="24" t="s">
        <v>52</v>
      </c>
      <c r="F263" s="24" t="s">
        <v>391</v>
      </c>
      <c r="G263" s="108">
        <f aca="true" t="shared" si="18" ref="G263:G288">H263+I263</f>
        <v>0</v>
      </c>
      <c r="H263" s="108">
        <f>H264+H267</f>
        <v>0</v>
      </c>
      <c r="I263" s="108">
        <f>I264+I267+I296</f>
        <v>0</v>
      </c>
    </row>
    <row r="264" spans="1:9" ht="27" hidden="1">
      <c r="A264" s="74" t="s">
        <v>206</v>
      </c>
      <c r="B264" s="75" t="s">
        <v>169</v>
      </c>
      <c r="C264" s="24" t="s">
        <v>374</v>
      </c>
      <c r="D264" s="24" t="s">
        <v>142</v>
      </c>
      <c r="E264" s="24" t="s">
        <v>53</v>
      </c>
      <c r="F264" s="24" t="s">
        <v>391</v>
      </c>
      <c r="G264" s="108">
        <f t="shared" si="18"/>
        <v>0</v>
      </c>
      <c r="H264" s="108">
        <f>H265</f>
        <v>0</v>
      </c>
      <c r="I264" s="108"/>
    </row>
    <row r="265" spans="1:9" ht="41.25" hidden="1">
      <c r="A265" s="74" t="s">
        <v>203</v>
      </c>
      <c r="B265" s="75" t="s">
        <v>169</v>
      </c>
      <c r="C265" s="24" t="s">
        <v>374</v>
      </c>
      <c r="D265" s="24" t="s">
        <v>142</v>
      </c>
      <c r="E265" s="24" t="s">
        <v>53</v>
      </c>
      <c r="F265" s="24" t="s">
        <v>204</v>
      </c>
      <c r="G265" s="108">
        <f t="shared" si="18"/>
        <v>0</v>
      </c>
      <c r="H265" s="108">
        <f>H266</f>
        <v>0</v>
      </c>
      <c r="I265" s="108"/>
    </row>
    <row r="266" spans="1:9" ht="13.5" hidden="1">
      <c r="A266" s="74" t="s">
        <v>205</v>
      </c>
      <c r="B266" s="75" t="s">
        <v>169</v>
      </c>
      <c r="C266" s="24" t="s">
        <v>374</v>
      </c>
      <c r="D266" s="24" t="s">
        <v>142</v>
      </c>
      <c r="E266" s="24" t="s">
        <v>56</v>
      </c>
      <c r="F266" s="24" t="s">
        <v>271</v>
      </c>
      <c r="G266" s="108">
        <f t="shared" si="18"/>
        <v>0</v>
      </c>
      <c r="H266" s="108"/>
      <c r="I266" s="108"/>
    </row>
    <row r="267" spans="1:9" ht="27" hidden="1">
      <c r="A267" s="74" t="s">
        <v>207</v>
      </c>
      <c r="B267" s="75" t="s">
        <v>169</v>
      </c>
      <c r="C267" s="24" t="s">
        <v>374</v>
      </c>
      <c r="D267" s="24" t="s">
        <v>142</v>
      </c>
      <c r="E267" s="24" t="s">
        <v>53</v>
      </c>
      <c r="F267" s="24" t="s">
        <v>391</v>
      </c>
      <c r="G267" s="108">
        <f t="shared" si="18"/>
        <v>0</v>
      </c>
      <c r="H267" s="108">
        <f>H268</f>
        <v>0</v>
      </c>
      <c r="I267" s="108"/>
    </row>
    <row r="268" spans="1:9" ht="41.25" hidden="1">
      <c r="A268" s="74" t="s">
        <v>203</v>
      </c>
      <c r="B268" s="75" t="s">
        <v>169</v>
      </c>
      <c r="C268" s="24" t="s">
        <v>374</v>
      </c>
      <c r="D268" s="24" t="s">
        <v>142</v>
      </c>
      <c r="E268" s="24" t="s">
        <v>53</v>
      </c>
      <c r="F268" s="24" t="s">
        <v>204</v>
      </c>
      <c r="G268" s="108">
        <f t="shared" si="18"/>
        <v>0</v>
      </c>
      <c r="H268" s="108">
        <f>H269</f>
        <v>0</v>
      </c>
      <c r="I268" s="108"/>
    </row>
    <row r="269" spans="1:9" ht="13.5" hidden="1">
      <c r="A269" s="74" t="s">
        <v>205</v>
      </c>
      <c r="B269" s="75">
        <v>951</v>
      </c>
      <c r="C269" s="24" t="s">
        <v>374</v>
      </c>
      <c r="D269" s="24" t="s">
        <v>142</v>
      </c>
      <c r="E269" s="24" t="s">
        <v>57</v>
      </c>
      <c r="F269" s="24" t="s">
        <v>271</v>
      </c>
      <c r="G269" s="108">
        <f t="shared" si="18"/>
        <v>0</v>
      </c>
      <c r="H269" s="108"/>
      <c r="I269" s="108"/>
    </row>
    <row r="270" spans="1:9" ht="41.25" hidden="1">
      <c r="A270" s="53" t="s">
        <v>465</v>
      </c>
      <c r="B270" s="75" t="s">
        <v>169</v>
      </c>
      <c r="C270" s="24" t="s">
        <v>374</v>
      </c>
      <c r="D270" s="24" t="s">
        <v>374</v>
      </c>
      <c r="E270" s="24" t="s">
        <v>450</v>
      </c>
      <c r="F270" s="24" t="s">
        <v>391</v>
      </c>
      <c r="G270" s="108">
        <f t="shared" si="18"/>
        <v>0</v>
      </c>
      <c r="H270" s="108">
        <f>H271</f>
        <v>0</v>
      </c>
      <c r="I270" s="108"/>
    </row>
    <row r="271" spans="1:9" ht="27" hidden="1">
      <c r="A271" s="17" t="s">
        <v>180</v>
      </c>
      <c r="B271" s="75" t="s">
        <v>169</v>
      </c>
      <c r="C271" s="24" t="s">
        <v>374</v>
      </c>
      <c r="D271" s="24" t="s">
        <v>374</v>
      </c>
      <c r="E271" s="24" t="s">
        <v>451</v>
      </c>
      <c r="F271" s="24" t="s">
        <v>149</v>
      </c>
      <c r="G271" s="108">
        <f t="shared" si="18"/>
        <v>0</v>
      </c>
      <c r="H271" s="108">
        <f>H272</f>
        <v>0</v>
      </c>
      <c r="I271" s="108"/>
    </row>
    <row r="272" spans="1:9" ht="41.25" hidden="1">
      <c r="A272" s="74" t="s">
        <v>181</v>
      </c>
      <c r="B272" s="75" t="s">
        <v>169</v>
      </c>
      <c r="C272" s="24" t="s">
        <v>374</v>
      </c>
      <c r="D272" s="24" t="s">
        <v>374</v>
      </c>
      <c r="E272" s="24" t="s">
        <v>451</v>
      </c>
      <c r="F272" s="24" t="s">
        <v>182</v>
      </c>
      <c r="G272" s="108">
        <f t="shared" si="18"/>
        <v>0</v>
      </c>
      <c r="H272" s="108">
        <v>0</v>
      </c>
      <c r="I272" s="108"/>
    </row>
    <row r="273" spans="1:9" ht="18.75" customHeight="1">
      <c r="A273" s="53" t="s">
        <v>559</v>
      </c>
      <c r="B273" s="72" t="s">
        <v>169</v>
      </c>
      <c r="C273" s="57" t="s">
        <v>374</v>
      </c>
      <c r="D273" s="57" t="s">
        <v>147</v>
      </c>
      <c r="E273" s="57" t="s">
        <v>304</v>
      </c>
      <c r="F273" s="57" t="s">
        <v>391</v>
      </c>
      <c r="G273" s="92">
        <f t="shared" si="18"/>
        <v>14960.562150000002</v>
      </c>
      <c r="H273" s="92">
        <f>H274+H285+H289</f>
        <v>14960.562150000002</v>
      </c>
      <c r="I273" s="92">
        <f>I274+I285+I289</f>
        <v>0</v>
      </c>
    </row>
    <row r="274" spans="1:9" ht="41.25">
      <c r="A274" s="69" t="s">
        <v>452</v>
      </c>
      <c r="B274" s="72" t="s">
        <v>169</v>
      </c>
      <c r="C274" s="57" t="s">
        <v>374</v>
      </c>
      <c r="D274" s="57" t="s">
        <v>147</v>
      </c>
      <c r="E274" s="57" t="s">
        <v>304</v>
      </c>
      <c r="F274" s="57" t="s">
        <v>391</v>
      </c>
      <c r="G274" s="92">
        <f t="shared" si="18"/>
        <v>14960.562150000002</v>
      </c>
      <c r="H274" s="92">
        <f>H275</f>
        <v>14960.562150000002</v>
      </c>
      <c r="I274" s="92"/>
    </row>
    <row r="275" spans="1:9" ht="31.5" customHeight="1">
      <c r="A275" s="100" t="s">
        <v>273</v>
      </c>
      <c r="B275" s="75" t="s">
        <v>169</v>
      </c>
      <c r="C275" s="24" t="s">
        <v>374</v>
      </c>
      <c r="D275" s="24" t="s">
        <v>147</v>
      </c>
      <c r="E275" s="24" t="s">
        <v>52</v>
      </c>
      <c r="F275" s="24" t="s">
        <v>391</v>
      </c>
      <c r="G275" s="83">
        <f t="shared" si="18"/>
        <v>14960.562150000002</v>
      </c>
      <c r="H275" s="108">
        <f>H276+H279+H282</f>
        <v>14960.562150000002</v>
      </c>
      <c r="I275" s="108"/>
    </row>
    <row r="276" spans="1:9" ht="27">
      <c r="A276" s="74" t="s">
        <v>828</v>
      </c>
      <c r="B276" s="75" t="s">
        <v>169</v>
      </c>
      <c r="C276" s="24" t="s">
        <v>374</v>
      </c>
      <c r="D276" s="24" t="s">
        <v>147</v>
      </c>
      <c r="E276" s="24" t="s">
        <v>829</v>
      </c>
      <c r="F276" s="24" t="s">
        <v>391</v>
      </c>
      <c r="G276" s="83">
        <f>H276</f>
        <v>1399.388</v>
      </c>
      <c r="H276" s="108">
        <f>H277</f>
        <v>1399.388</v>
      </c>
      <c r="I276" s="108"/>
    </row>
    <row r="277" spans="1:9" ht="41.25">
      <c r="A277" s="74" t="s">
        <v>203</v>
      </c>
      <c r="B277" s="75" t="s">
        <v>169</v>
      </c>
      <c r="C277" s="24" t="s">
        <v>374</v>
      </c>
      <c r="D277" s="24" t="s">
        <v>147</v>
      </c>
      <c r="E277" s="24" t="s">
        <v>829</v>
      </c>
      <c r="F277" s="24" t="s">
        <v>204</v>
      </c>
      <c r="G277" s="83">
        <f>H277</f>
        <v>1399.388</v>
      </c>
      <c r="H277" s="108">
        <f>H278</f>
        <v>1399.388</v>
      </c>
      <c r="I277" s="108"/>
    </row>
    <row r="278" spans="1:9" ht="13.5">
      <c r="A278" s="74" t="s">
        <v>205</v>
      </c>
      <c r="B278" s="75" t="s">
        <v>169</v>
      </c>
      <c r="C278" s="24" t="s">
        <v>374</v>
      </c>
      <c r="D278" s="24" t="s">
        <v>147</v>
      </c>
      <c r="E278" s="24" t="s">
        <v>829</v>
      </c>
      <c r="F278" s="24" t="s">
        <v>271</v>
      </c>
      <c r="G278" s="83">
        <f>H278</f>
        <v>1399.388</v>
      </c>
      <c r="H278" s="108">
        <f>800+945-345.612</f>
        <v>1399.388</v>
      </c>
      <c r="I278" s="108"/>
    </row>
    <row r="279" spans="1:9" ht="27">
      <c r="A279" s="74" t="s">
        <v>206</v>
      </c>
      <c r="B279" s="75" t="s">
        <v>169</v>
      </c>
      <c r="C279" s="24" t="s">
        <v>374</v>
      </c>
      <c r="D279" s="24" t="s">
        <v>147</v>
      </c>
      <c r="E279" s="24" t="s">
        <v>53</v>
      </c>
      <c r="F279" s="24" t="s">
        <v>391</v>
      </c>
      <c r="G279" s="83">
        <f t="shared" si="18"/>
        <v>9231.13384</v>
      </c>
      <c r="H279" s="108">
        <f>H280</f>
        <v>9231.13384</v>
      </c>
      <c r="I279" s="108"/>
    </row>
    <row r="280" spans="1:9" ht="41.25">
      <c r="A280" s="74" t="s">
        <v>203</v>
      </c>
      <c r="B280" s="75" t="s">
        <v>169</v>
      </c>
      <c r="C280" s="24" t="s">
        <v>374</v>
      </c>
      <c r="D280" s="24" t="s">
        <v>147</v>
      </c>
      <c r="E280" s="24" t="s">
        <v>53</v>
      </c>
      <c r="F280" s="24" t="s">
        <v>204</v>
      </c>
      <c r="G280" s="83">
        <f t="shared" si="18"/>
        <v>9231.13384</v>
      </c>
      <c r="H280" s="108">
        <f>H281</f>
        <v>9231.13384</v>
      </c>
      <c r="I280" s="108"/>
    </row>
    <row r="281" spans="1:9" ht="13.5">
      <c r="A281" s="74" t="s">
        <v>205</v>
      </c>
      <c r="B281" s="75" t="s">
        <v>169</v>
      </c>
      <c r="C281" s="24" t="s">
        <v>374</v>
      </c>
      <c r="D281" s="24" t="s">
        <v>147</v>
      </c>
      <c r="E281" s="24" t="s">
        <v>56</v>
      </c>
      <c r="F281" s="24" t="s">
        <v>271</v>
      </c>
      <c r="G281" s="83">
        <f t="shared" si="18"/>
        <v>9231.13384</v>
      </c>
      <c r="H281" s="108">
        <f>4998.16+1893.3+180+530+498.67384+1131</f>
        <v>9231.13384</v>
      </c>
      <c r="I281" s="108"/>
    </row>
    <row r="282" spans="1:9" ht="27">
      <c r="A282" s="74" t="s">
        <v>207</v>
      </c>
      <c r="B282" s="75" t="s">
        <v>169</v>
      </c>
      <c r="C282" s="24" t="s">
        <v>374</v>
      </c>
      <c r="D282" s="24" t="s">
        <v>147</v>
      </c>
      <c r="E282" s="24" t="s">
        <v>53</v>
      </c>
      <c r="F282" s="24" t="s">
        <v>391</v>
      </c>
      <c r="G282" s="83">
        <f t="shared" si="18"/>
        <v>4330.040309999999</v>
      </c>
      <c r="H282" s="108">
        <f>H283</f>
        <v>4330.040309999999</v>
      </c>
      <c r="I282" s="108"/>
    </row>
    <row r="283" spans="1:9" ht="41.25">
      <c r="A283" s="74" t="s">
        <v>203</v>
      </c>
      <c r="B283" s="75" t="s">
        <v>169</v>
      </c>
      <c r="C283" s="24" t="s">
        <v>374</v>
      </c>
      <c r="D283" s="24" t="s">
        <v>147</v>
      </c>
      <c r="E283" s="24" t="s">
        <v>53</v>
      </c>
      <c r="F283" s="24" t="s">
        <v>204</v>
      </c>
      <c r="G283" s="83">
        <f t="shared" si="18"/>
        <v>4330.040309999999</v>
      </c>
      <c r="H283" s="108">
        <f>H284</f>
        <v>4330.040309999999</v>
      </c>
      <c r="I283" s="108"/>
    </row>
    <row r="284" spans="1:9" ht="13.5">
      <c r="A284" s="74" t="s">
        <v>205</v>
      </c>
      <c r="B284" s="75" t="s">
        <v>169</v>
      </c>
      <c r="C284" s="24" t="s">
        <v>374</v>
      </c>
      <c r="D284" s="24" t="s">
        <v>147</v>
      </c>
      <c r="E284" s="24" t="s">
        <v>57</v>
      </c>
      <c r="F284" s="24" t="s">
        <v>271</v>
      </c>
      <c r="G284" s="83">
        <f t="shared" si="18"/>
        <v>4330.040309999999</v>
      </c>
      <c r="H284" s="108">
        <f>2235.64+910.3+100+350+209.10031+525</f>
        <v>4330.040309999999</v>
      </c>
      <c r="I284" s="108"/>
    </row>
    <row r="285" spans="1:9" ht="14.25" hidden="1">
      <c r="A285" s="129" t="s">
        <v>554</v>
      </c>
      <c r="B285" s="75" t="s">
        <v>169</v>
      </c>
      <c r="C285" s="24" t="s">
        <v>374</v>
      </c>
      <c r="D285" s="24" t="s">
        <v>147</v>
      </c>
      <c r="E285" s="71" t="s">
        <v>304</v>
      </c>
      <c r="F285" s="71" t="s">
        <v>391</v>
      </c>
      <c r="G285" s="83">
        <f t="shared" si="18"/>
        <v>0</v>
      </c>
      <c r="H285" s="86">
        <f>H286</f>
        <v>0</v>
      </c>
      <c r="I285" s="86"/>
    </row>
    <row r="286" spans="1:9" ht="27" hidden="1">
      <c r="A286" s="74" t="s">
        <v>560</v>
      </c>
      <c r="B286" s="75" t="s">
        <v>169</v>
      </c>
      <c r="C286" s="24" t="s">
        <v>374</v>
      </c>
      <c r="D286" s="24" t="s">
        <v>147</v>
      </c>
      <c r="E286" s="35" t="s">
        <v>304</v>
      </c>
      <c r="F286" s="35" t="s">
        <v>391</v>
      </c>
      <c r="G286" s="83">
        <f t="shared" si="18"/>
        <v>0</v>
      </c>
      <c r="H286" s="83">
        <f>H287</f>
        <v>0</v>
      </c>
      <c r="I286" s="83"/>
    </row>
    <row r="287" spans="1:9" ht="41.25" hidden="1">
      <c r="A287" s="74" t="s">
        <v>203</v>
      </c>
      <c r="B287" s="75" t="s">
        <v>169</v>
      </c>
      <c r="C287" s="24" t="s">
        <v>374</v>
      </c>
      <c r="D287" s="24" t="s">
        <v>147</v>
      </c>
      <c r="E287" s="35" t="s">
        <v>556</v>
      </c>
      <c r="F287" s="35" t="s">
        <v>204</v>
      </c>
      <c r="G287" s="83">
        <f t="shared" si="18"/>
        <v>0</v>
      </c>
      <c r="H287" s="83">
        <f>H288</f>
        <v>0</v>
      </c>
      <c r="I287" s="83"/>
    </row>
    <row r="288" spans="1:9" ht="13.5" hidden="1">
      <c r="A288" s="74" t="s">
        <v>205</v>
      </c>
      <c r="B288" s="75" t="s">
        <v>169</v>
      </c>
      <c r="C288" s="24" t="s">
        <v>374</v>
      </c>
      <c r="D288" s="24" t="s">
        <v>147</v>
      </c>
      <c r="E288" s="35" t="s">
        <v>556</v>
      </c>
      <c r="F288" s="35" t="s">
        <v>271</v>
      </c>
      <c r="G288" s="83">
        <f t="shared" si="18"/>
        <v>0</v>
      </c>
      <c r="H288" s="83"/>
      <c r="I288" s="83"/>
    </row>
    <row r="289" spans="1:9" ht="41.25" hidden="1">
      <c r="A289" s="53" t="s">
        <v>464</v>
      </c>
      <c r="B289" s="75" t="s">
        <v>169</v>
      </c>
      <c r="C289" s="24" t="s">
        <v>374</v>
      </c>
      <c r="D289" s="24" t="s">
        <v>147</v>
      </c>
      <c r="E289" s="57" t="s">
        <v>304</v>
      </c>
      <c r="F289" s="57" t="s">
        <v>391</v>
      </c>
      <c r="G289" s="92">
        <f>G290</f>
        <v>0</v>
      </c>
      <c r="H289" s="92">
        <f>H290</f>
        <v>0</v>
      </c>
      <c r="I289" s="92">
        <f>I290</f>
        <v>0</v>
      </c>
    </row>
    <row r="290" spans="1:9" ht="72.75" customHeight="1" hidden="1">
      <c r="A290" s="129" t="s">
        <v>580</v>
      </c>
      <c r="B290" s="85" t="s">
        <v>169</v>
      </c>
      <c r="C290" s="71" t="s">
        <v>374</v>
      </c>
      <c r="D290" s="71" t="s">
        <v>147</v>
      </c>
      <c r="E290" s="71" t="s">
        <v>304</v>
      </c>
      <c r="F290" s="71" t="s">
        <v>391</v>
      </c>
      <c r="G290" s="86">
        <f>H290+I290</f>
        <v>0</v>
      </c>
      <c r="H290" s="86">
        <f>H291+H293</f>
        <v>0</v>
      </c>
      <c r="I290" s="86">
        <f>I291</f>
        <v>0</v>
      </c>
    </row>
    <row r="291" spans="1:9" ht="69" hidden="1">
      <c r="A291" s="17" t="s">
        <v>626</v>
      </c>
      <c r="B291" s="21" t="s">
        <v>169</v>
      </c>
      <c r="C291" s="35" t="s">
        <v>374</v>
      </c>
      <c r="D291" s="35" t="s">
        <v>147</v>
      </c>
      <c r="E291" s="35" t="s">
        <v>698</v>
      </c>
      <c r="F291" s="35" t="s">
        <v>204</v>
      </c>
      <c r="G291" s="83">
        <f>G292</f>
        <v>0</v>
      </c>
      <c r="H291" s="83">
        <f>H292</f>
        <v>0</v>
      </c>
      <c r="I291" s="83">
        <f>I292</f>
        <v>0</v>
      </c>
    </row>
    <row r="292" spans="1:9" ht="13.5" hidden="1">
      <c r="A292" s="17" t="s">
        <v>205</v>
      </c>
      <c r="B292" s="21" t="s">
        <v>169</v>
      </c>
      <c r="C292" s="35" t="s">
        <v>374</v>
      </c>
      <c r="D292" s="35" t="s">
        <v>147</v>
      </c>
      <c r="E292" s="35" t="s">
        <v>698</v>
      </c>
      <c r="F292" s="35" t="s">
        <v>271</v>
      </c>
      <c r="G292" s="83">
        <f>H292+I292</f>
        <v>0</v>
      </c>
      <c r="H292" s="83"/>
      <c r="I292" s="83">
        <v>0</v>
      </c>
    </row>
    <row r="293" spans="1:9" ht="96.75" hidden="1">
      <c r="A293" s="17" t="s">
        <v>627</v>
      </c>
      <c r="B293" s="21" t="s">
        <v>169</v>
      </c>
      <c r="C293" s="35" t="s">
        <v>374</v>
      </c>
      <c r="D293" s="35" t="s">
        <v>147</v>
      </c>
      <c r="E293" s="35" t="s">
        <v>699</v>
      </c>
      <c r="F293" s="35" t="s">
        <v>204</v>
      </c>
      <c r="G293" s="83">
        <f>G294</f>
        <v>0</v>
      </c>
      <c r="H293" s="83">
        <f>H294</f>
        <v>0</v>
      </c>
      <c r="I293" s="83">
        <f>I294</f>
        <v>0</v>
      </c>
    </row>
    <row r="294" spans="1:9" ht="13.5" hidden="1">
      <c r="A294" s="17" t="s">
        <v>205</v>
      </c>
      <c r="B294" s="21" t="s">
        <v>169</v>
      </c>
      <c r="C294" s="35" t="s">
        <v>374</v>
      </c>
      <c r="D294" s="35" t="s">
        <v>147</v>
      </c>
      <c r="E294" s="35" t="s">
        <v>699</v>
      </c>
      <c r="F294" s="35" t="s">
        <v>271</v>
      </c>
      <c r="G294" s="83">
        <f>H294+I294</f>
        <v>0</v>
      </c>
      <c r="H294" s="83">
        <v>0</v>
      </c>
      <c r="I294" s="83">
        <v>0</v>
      </c>
    </row>
    <row r="295" spans="1:9" ht="13.5" hidden="1">
      <c r="A295" s="17"/>
      <c r="B295" s="21"/>
      <c r="C295" s="35"/>
      <c r="D295" s="35"/>
      <c r="E295" s="35"/>
      <c r="F295" s="35"/>
      <c r="G295" s="83"/>
      <c r="H295" s="83"/>
      <c r="I295" s="83"/>
    </row>
    <row r="296" spans="1:9" ht="41.25">
      <c r="A296" s="101" t="s">
        <v>452</v>
      </c>
      <c r="B296" s="169">
        <v>951</v>
      </c>
      <c r="C296" s="170" t="s">
        <v>374</v>
      </c>
      <c r="D296" s="170" t="s">
        <v>359</v>
      </c>
      <c r="E296" s="57" t="s">
        <v>26</v>
      </c>
      <c r="F296" s="170" t="s">
        <v>391</v>
      </c>
      <c r="G296" s="120">
        <f t="shared" si="10"/>
        <v>111</v>
      </c>
      <c r="H296" s="120">
        <f>H297</f>
        <v>111</v>
      </c>
      <c r="I296" s="120">
        <f aca="true" t="shared" si="19" ref="H296:I298">I297</f>
        <v>0</v>
      </c>
    </row>
    <row r="297" spans="1:9" ht="27">
      <c r="A297" s="102" t="s">
        <v>442</v>
      </c>
      <c r="B297" s="75">
        <v>951</v>
      </c>
      <c r="C297" s="24" t="s">
        <v>374</v>
      </c>
      <c r="D297" s="24" t="s">
        <v>359</v>
      </c>
      <c r="E297" s="24" t="s">
        <v>27</v>
      </c>
      <c r="F297" s="24" t="s">
        <v>391</v>
      </c>
      <c r="G297" s="108">
        <f t="shared" si="10"/>
        <v>111</v>
      </c>
      <c r="H297" s="108">
        <f t="shared" si="19"/>
        <v>111</v>
      </c>
      <c r="I297" s="108">
        <f t="shared" si="19"/>
        <v>0</v>
      </c>
    </row>
    <row r="298" spans="1:9" ht="27">
      <c r="A298" s="74" t="s">
        <v>180</v>
      </c>
      <c r="B298" s="75">
        <v>951</v>
      </c>
      <c r="C298" s="24" t="s">
        <v>374</v>
      </c>
      <c r="D298" s="24" t="s">
        <v>359</v>
      </c>
      <c r="E298" s="24" t="s">
        <v>29</v>
      </c>
      <c r="F298" s="24" t="s">
        <v>149</v>
      </c>
      <c r="G298" s="108">
        <f t="shared" si="10"/>
        <v>111</v>
      </c>
      <c r="H298" s="108">
        <f t="shared" si="19"/>
        <v>111</v>
      </c>
      <c r="I298" s="108">
        <f t="shared" si="19"/>
        <v>0</v>
      </c>
    </row>
    <row r="299" spans="1:9" ht="41.25">
      <c r="A299" s="76" t="s">
        <v>181</v>
      </c>
      <c r="B299" s="75">
        <v>951</v>
      </c>
      <c r="C299" s="24" t="s">
        <v>374</v>
      </c>
      <c r="D299" s="24" t="s">
        <v>359</v>
      </c>
      <c r="E299" s="24" t="s">
        <v>30</v>
      </c>
      <c r="F299" s="24" t="s">
        <v>182</v>
      </c>
      <c r="G299" s="108">
        <f t="shared" si="10"/>
        <v>111</v>
      </c>
      <c r="H299" s="108">
        <v>111</v>
      </c>
      <c r="I299" s="108"/>
    </row>
    <row r="300" spans="1:9" ht="41.25" hidden="1">
      <c r="A300" s="53" t="s">
        <v>269</v>
      </c>
      <c r="B300" s="75">
        <v>951</v>
      </c>
      <c r="C300" s="24" t="s">
        <v>374</v>
      </c>
      <c r="D300" s="24" t="s">
        <v>359</v>
      </c>
      <c r="E300" s="57" t="s">
        <v>36</v>
      </c>
      <c r="F300" s="24" t="s">
        <v>391</v>
      </c>
      <c r="G300" s="108">
        <f t="shared" si="10"/>
        <v>0</v>
      </c>
      <c r="H300" s="108">
        <f>H301</f>
        <v>0</v>
      </c>
      <c r="I300" s="108"/>
    </row>
    <row r="301" spans="1:9" ht="27" hidden="1">
      <c r="A301" s="74" t="s">
        <v>180</v>
      </c>
      <c r="B301" s="75">
        <v>951</v>
      </c>
      <c r="C301" s="24" t="s">
        <v>374</v>
      </c>
      <c r="D301" s="24" t="s">
        <v>359</v>
      </c>
      <c r="E301" s="35" t="s">
        <v>508</v>
      </c>
      <c r="F301" s="24" t="s">
        <v>149</v>
      </c>
      <c r="G301" s="108">
        <f t="shared" si="10"/>
        <v>0</v>
      </c>
      <c r="H301" s="108">
        <f>H302</f>
        <v>0</v>
      </c>
      <c r="I301" s="108"/>
    </row>
    <row r="302" spans="1:9" ht="41.25" hidden="1">
      <c r="A302" s="76" t="s">
        <v>181</v>
      </c>
      <c r="B302" s="75">
        <v>951</v>
      </c>
      <c r="C302" s="24" t="s">
        <v>374</v>
      </c>
      <c r="D302" s="24" t="s">
        <v>359</v>
      </c>
      <c r="E302" s="35" t="s">
        <v>508</v>
      </c>
      <c r="F302" s="24" t="s">
        <v>182</v>
      </c>
      <c r="G302" s="108">
        <f t="shared" si="10"/>
        <v>0</v>
      </c>
      <c r="H302" s="108">
        <v>0</v>
      </c>
      <c r="I302" s="108"/>
    </row>
    <row r="303" spans="1:9" ht="27">
      <c r="A303" s="99" t="s">
        <v>143</v>
      </c>
      <c r="B303" s="75">
        <v>951</v>
      </c>
      <c r="C303" s="24" t="s">
        <v>374</v>
      </c>
      <c r="D303" s="24" t="s">
        <v>359</v>
      </c>
      <c r="E303" s="24" t="s">
        <v>8</v>
      </c>
      <c r="F303" s="24" t="s">
        <v>391</v>
      </c>
      <c r="G303" s="108">
        <f t="shared" si="10"/>
        <v>2818.2</v>
      </c>
      <c r="H303" s="108">
        <f>H304</f>
        <v>2818.2</v>
      </c>
      <c r="I303" s="108">
        <f>I304</f>
        <v>0</v>
      </c>
    </row>
    <row r="304" spans="1:9" ht="42.75" customHeight="1">
      <c r="A304" s="74" t="s">
        <v>144</v>
      </c>
      <c r="B304" s="75">
        <v>951</v>
      </c>
      <c r="C304" s="24" t="s">
        <v>374</v>
      </c>
      <c r="D304" s="24" t="s">
        <v>359</v>
      </c>
      <c r="E304" s="24" t="s">
        <v>9</v>
      </c>
      <c r="F304" s="24" t="s">
        <v>391</v>
      </c>
      <c r="G304" s="108">
        <f t="shared" si="10"/>
        <v>2818.2</v>
      </c>
      <c r="H304" s="108">
        <f>H305</f>
        <v>2818.2</v>
      </c>
      <c r="I304" s="108">
        <f>I305</f>
        <v>0</v>
      </c>
    </row>
    <row r="305" spans="1:11" ht="41.25">
      <c r="A305" s="74" t="s">
        <v>148</v>
      </c>
      <c r="B305" s="75">
        <v>951</v>
      </c>
      <c r="C305" s="24" t="s">
        <v>374</v>
      </c>
      <c r="D305" s="24" t="s">
        <v>359</v>
      </c>
      <c r="E305" s="24" t="s">
        <v>12</v>
      </c>
      <c r="F305" s="24" t="s">
        <v>391</v>
      </c>
      <c r="G305" s="108">
        <f t="shared" si="10"/>
        <v>2818.2</v>
      </c>
      <c r="H305" s="108">
        <f>H306+H308</f>
        <v>2818.2</v>
      </c>
      <c r="I305" s="108">
        <f>I306+I308</f>
        <v>0</v>
      </c>
      <c r="K305" s="82"/>
    </row>
    <row r="306" spans="1:9" ht="81.75" customHeight="1">
      <c r="A306" s="74" t="s">
        <v>177</v>
      </c>
      <c r="B306" s="75">
        <v>951</v>
      </c>
      <c r="C306" s="24" t="s">
        <v>374</v>
      </c>
      <c r="D306" s="24" t="s">
        <v>359</v>
      </c>
      <c r="E306" s="24" t="s">
        <v>12</v>
      </c>
      <c r="F306" s="24" t="s">
        <v>145</v>
      </c>
      <c r="G306" s="108">
        <f>H306+I306</f>
        <v>2673.2</v>
      </c>
      <c r="H306" s="108">
        <f>H307</f>
        <v>2673.2</v>
      </c>
      <c r="I306" s="108">
        <f>I307</f>
        <v>0</v>
      </c>
    </row>
    <row r="307" spans="1:9" ht="27">
      <c r="A307" s="74" t="s">
        <v>179</v>
      </c>
      <c r="B307" s="75">
        <v>951</v>
      </c>
      <c r="C307" s="24" t="s">
        <v>374</v>
      </c>
      <c r="D307" s="24" t="s">
        <v>359</v>
      </c>
      <c r="E307" s="24" t="s">
        <v>12</v>
      </c>
      <c r="F307" s="24" t="s">
        <v>178</v>
      </c>
      <c r="G307" s="108">
        <f>H307+I307</f>
        <v>2673.2</v>
      </c>
      <c r="H307" s="108">
        <f>2510.9+44+758.3-500-140</f>
        <v>2673.2</v>
      </c>
      <c r="I307" s="108"/>
    </row>
    <row r="308" spans="1:9" ht="27">
      <c r="A308" s="74" t="s">
        <v>180</v>
      </c>
      <c r="B308" s="75">
        <v>951</v>
      </c>
      <c r="C308" s="24" t="s">
        <v>374</v>
      </c>
      <c r="D308" s="24" t="s">
        <v>359</v>
      </c>
      <c r="E308" s="24" t="s">
        <v>12</v>
      </c>
      <c r="F308" s="24" t="s">
        <v>149</v>
      </c>
      <c r="G308" s="108">
        <f t="shared" si="10"/>
        <v>145</v>
      </c>
      <c r="H308" s="108">
        <f>H309</f>
        <v>145</v>
      </c>
      <c r="I308" s="108">
        <f>I309</f>
        <v>0</v>
      </c>
    </row>
    <row r="309" spans="1:9" ht="41.25">
      <c r="A309" s="76" t="s">
        <v>181</v>
      </c>
      <c r="B309" s="75">
        <v>951</v>
      </c>
      <c r="C309" s="24" t="s">
        <v>374</v>
      </c>
      <c r="D309" s="24" t="s">
        <v>359</v>
      </c>
      <c r="E309" s="24" t="s">
        <v>12</v>
      </c>
      <c r="F309" s="24" t="s">
        <v>182</v>
      </c>
      <c r="G309" s="108">
        <f t="shared" si="10"/>
        <v>145</v>
      </c>
      <c r="H309" s="108">
        <f>145</f>
        <v>145</v>
      </c>
      <c r="I309" s="108"/>
    </row>
    <row r="310" spans="1:11" ht="70.5" customHeight="1">
      <c r="A310" s="17" t="s">
        <v>654</v>
      </c>
      <c r="B310" s="21">
        <v>951</v>
      </c>
      <c r="C310" s="35" t="s">
        <v>374</v>
      </c>
      <c r="D310" s="35" t="s">
        <v>359</v>
      </c>
      <c r="E310" s="35" t="s">
        <v>662</v>
      </c>
      <c r="F310" s="35" t="s">
        <v>391</v>
      </c>
      <c r="G310" s="83">
        <f t="shared" si="10"/>
        <v>1882.5029999999997</v>
      </c>
      <c r="H310" s="83">
        <f>H311+H313</f>
        <v>0</v>
      </c>
      <c r="I310" s="83">
        <f>I311+I313</f>
        <v>1882.5029999999997</v>
      </c>
      <c r="K310" s="82"/>
    </row>
    <row r="311" spans="1:9" ht="85.5" customHeight="1">
      <c r="A311" s="17" t="s">
        <v>177</v>
      </c>
      <c r="B311" s="21">
        <v>951</v>
      </c>
      <c r="C311" s="35" t="s">
        <v>374</v>
      </c>
      <c r="D311" s="35" t="s">
        <v>359</v>
      </c>
      <c r="E311" s="35" t="s">
        <v>662</v>
      </c>
      <c r="F311" s="35" t="s">
        <v>145</v>
      </c>
      <c r="G311" s="83">
        <f t="shared" si="10"/>
        <v>1327.3646299999998</v>
      </c>
      <c r="H311" s="83">
        <f>H312</f>
        <v>0</v>
      </c>
      <c r="I311" s="83">
        <f>I312</f>
        <v>1327.3646299999998</v>
      </c>
    </row>
    <row r="312" spans="1:9" ht="27">
      <c r="A312" s="44" t="s">
        <v>179</v>
      </c>
      <c r="B312" s="21">
        <v>951</v>
      </c>
      <c r="C312" s="35" t="s">
        <v>374</v>
      </c>
      <c r="D312" s="35" t="s">
        <v>359</v>
      </c>
      <c r="E312" s="35" t="s">
        <v>662</v>
      </c>
      <c r="F312" s="35" t="s">
        <v>178</v>
      </c>
      <c r="G312" s="83">
        <f t="shared" si="10"/>
        <v>1327.3646299999998</v>
      </c>
      <c r="H312" s="83"/>
      <c r="I312" s="83">
        <f>1311.899+16.655-1.18937</f>
        <v>1327.3646299999998</v>
      </c>
    </row>
    <row r="313" spans="1:9" ht="27">
      <c r="A313" s="17" t="s">
        <v>180</v>
      </c>
      <c r="B313" s="21">
        <v>951</v>
      </c>
      <c r="C313" s="35" t="s">
        <v>374</v>
      </c>
      <c r="D313" s="35" t="s">
        <v>359</v>
      </c>
      <c r="E313" s="35" t="s">
        <v>662</v>
      </c>
      <c r="F313" s="35" t="s">
        <v>149</v>
      </c>
      <c r="G313" s="83">
        <f t="shared" si="10"/>
        <v>555.13837</v>
      </c>
      <c r="H313" s="83">
        <f>H314</f>
        <v>0</v>
      </c>
      <c r="I313" s="83">
        <f>I314</f>
        <v>555.13837</v>
      </c>
    </row>
    <row r="314" spans="1:9" ht="41.25">
      <c r="A314" s="44" t="s">
        <v>181</v>
      </c>
      <c r="B314" s="21">
        <v>951</v>
      </c>
      <c r="C314" s="35" t="s">
        <v>374</v>
      </c>
      <c r="D314" s="35" t="s">
        <v>359</v>
      </c>
      <c r="E314" s="35" t="s">
        <v>662</v>
      </c>
      <c r="F314" s="35" t="s">
        <v>182</v>
      </c>
      <c r="G314" s="83">
        <f t="shared" si="10"/>
        <v>555.13837</v>
      </c>
      <c r="H314" s="83"/>
      <c r="I314" s="83">
        <f>553.949+1.18937</f>
        <v>555.13837</v>
      </c>
    </row>
    <row r="315" spans="1:9" ht="13.5">
      <c r="A315" s="103" t="s">
        <v>176</v>
      </c>
      <c r="B315" s="171">
        <v>951</v>
      </c>
      <c r="C315" s="78" t="s">
        <v>362</v>
      </c>
      <c r="D315" s="78" t="s">
        <v>141</v>
      </c>
      <c r="E315" s="78" t="s">
        <v>304</v>
      </c>
      <c r="F315" s="78" t="s">
        <v>391</v>
      </c>
      <c r="G315" s="121">
        <f>H315+I315</f>
        <v>20033.737089999995</v>
      </c>
      <c r="H315" s="121">
        <f>H316+H350</f>
        <v>17803.564199999997</v>
      </c>
      <c r="I315" s="121">
        <f>I316+I350</f>
        <v>2230.17289</v>
      </c>
    </row>
    <row r="316" spans="1:9" ht="17.25" customHeight="1">
      <c r="A316" s="50" t="s">
        <v>426</v>
      </c>
      <c r="B316" s="21">
        <v>951</v>
      </c>
      <c r="C316" s="35" t="s">
        <v>362</v>
      </c>
      <c r="D316" s="35" t="s">
        <v>140</v>
      </c>
      <c r="E316" s="35" t="s">
        <v>304</v>
      </c>
      <c r="F316" s="35" t="s">
        <v>391</v>
      </c>
      <c r="G316" s="83">
        <f t="shared" si="10"/>
        <v>18307.25089</v>
      </c>
      <c r="H316" s="83">
        <f>H317+H347</f>
        <v>16277.077999999998</v>
      </c>
      <c r="I316" s="83">
        <f>I317+I347</f>
        <v>2030.17289</v>
      </c>
    </row>
    <row r="317" spans="1:9" ht="41.25" customHeight="1">
      <c r="A317" s="53" t="s">
        <v>464</v>
      </c>
      <c r="B317" s="72">
        <v>951</v>
      </c>
      <c r="C317" s="57" t="s">
        <v>362</v>
      </c>
      <c r="D317" s="57" t="s">
        <v>140</v>
      </c>
      <c r="E317" s="57" t="s">
        <v>95</v>
      </c>
      <c r="F317" s="57" t="s">
        <v>391</v>
      </c>
      <c r="G317" s="92">
        <f t="shared" si="10"/>
        <v>18307.25089</v>
      </c>
      <c r="H317" s="92">
        <f>H318+H323+H333+H337+H344</f>
        <v>16277.077999999998</v>
      </c>
      <c r="I317" s="92">
        <f>I318+I323+I333+I337+I344</f>
        <v>2030.17289</v>
      </c>
    </row>
    <row r="318" spans="1:9" ht="62.25" customHeight="1">
      <c r="A318" s="79" t="s">
        <v>513</v>
      </c>
      <c r="B318" s="21">
        <v>951</v>
      </c>
      <c r="C318" s="35" t="s">
        <v>362</v>
      </c>
      <c r="D318" s="35" t="s">
        <v>140</v>
      </c>
      <c r="E318" s="35" t="s">
        <v>72</v>
      </c>
      <c r="F318" s="35" t="s">
        <v>391</v>
      </c>
      <c r="G318" s="83">
        <f t="shared" si="10"/>
        <v>11068.949529999998</v>
      </c>
      <c r="H318" s="83">
        <f>H319+H321</f>
        <v>11068.949529999998</v>
      </c>
      <c r="I318" s="83">
        <f>I319</f>
        <v>0</v>
      </c>
    </row>
    <row r="319" spans="1:9" ht="41.25">
      <c r="A319" s="17" t="s">
        <v>203</v>
      </c>
      <c r="B319" s="21">
        <v>951</v>
      </c>
      <c r="C319" s="35" t="s">
        <v>362</v>
      </c>
      <c r="D319" s="35" t="s">
        <v>140</v>
      </c>
      <c r="E319" s="35" t="s">
        <v>73</v>
      </c>
      <c r="F319" s="35" t="s">
        <v>204</v>
      </c>
      <c r="G319" s="83">
        <f>H319+I319</f>
        <v>9013.822119999999</v>
      </c>
      <c r="H319" s="83">
        <f>H320</f>
        <v>9013.822119999999</v>
      </c>
      <c r="I319" s="83"/>
    </row>
    <row r="320" spans="1:9" ht="13.5">
      <c r="A320" s="17" t="s">
        <v>205</v>
      </c>
      <c r="B320" s="21">
        <v>951</v>
      </c>
      <c r="C320" s="35" t="s">
        <v>362</v>
      </c>
      <c r="D320" s="35" t="s">
        <v>140</v>
      </c>
      <c r="E320" s="35" t="s">
        <v>74</v>
      </c>
      <c r="F320" s="35" t="s">
        <v>271</v>
      </c>
      <c r="G320" s="83">
        <f t="shared" si="10"/>
        <v>9013.822119999999</v>
      </c>
      <c r="H320" s="83">
        <f>5802.65+100+72.86+25+150-0.0202+1755.1+726.9+0.00032+163+218.332</f>
        <v>9013.822119999999</v>
      </c>
      <c r="I320" s="83"/>
    </row>
    <row r="321" spans="1:9" ht="99" customHeight="1">
      <c r="A321" s="17" t="s">
        <v>93</v>
      </c>
      <c r="B321" s="21">
        <v>951</v>
      </c>
      <c r="C321" s="35" t="s">
        <v>362</v>
      </c>
      <c r="D321" s="35" t="s">
        <v>140</v>
      </c>
      <c r="E321" s="35" t="s">
        <v>92</v>
      </c>
      <c r="F321" s="35" t="s">
        <v>204</v>
      </c>
      <c r="G321" s="83">
        <f t="shared" si="10"/>
        <v>2055.12741</v>
      </c>
      <c r="H321" s="83">
        <f>H322</f>
        <v>2055.12741</v>
      </c>
      <c r="I321" s="83"/>
    </row>
    <row r="322" spans="1:9" ht="16.5" customHeight="1">
      <c r="A322" s="17" t="s">
        <v>205</v>
      </c>
      <c r="B322" s="21">
        <v>951</v>
      </c>
      <c r="C322" s="35" t="s">
        <v>362</v>
      </c>
      <c r="D322" s="35" t="s">
        <v>140</v>
      </c>
      <c r="E322" s="35" t="s">
        <v>92</v>
      </c>
      <c r="F322" s="35" t="s">
        <v>271</v>
      </c>
      <c r="G322" s="83">
        <f t="shared" si="10"/>
        <v>2055.12741</v>
      </c>
      <c r="H322" s="83">
        <f>1620+411.6+23.52741</f>
        <v>2055.12741</v>
      </c>
      <c r="I322" s="83"/>
    </row>
    <row r="323" spans="1:9" ht="62.25" customHeight="1">
      <c r="A323" s="77" t="s">
        <v>561</v>
      </c>
      <c r="B323" s="21">
        <v>951</v>
      </c>
      <c r="C323" s="78" t="s">
        <v>362</v>
      </c>
      <c r="D323" s="78" t="s">
        <v>140</v>
      </c>
      <c r="E323" s="78" t="s">
        <v>72</v>
      </c>
      <c r="F323" s="78" t="s">
        <v>391</v>
      </c>
      <c r="G323" s="91">
        <f>H323+I323</f>
        <v>1821.94917</v>
      </c>
      <c r="H323" s="91">
        <f>H327+H328</f>
        <v>18.219170000000002</v>
      </c>
      <c r="I323" s="91">
        <f>I324+I328+I331</f>
        <v>1803.73</v>
      </c>
    </row>
    <row r="324" spans="1:9" ht="69" customHeight="1">
      <c r="A324" s="53" t="s">
        <v>562</v>
      </c>
      <c r="B324" s="21">
        <v>951</v>
      </c>
      <c r="C324" s="57" t="s">
        <v>362</v>
      </c>
      <c r="D324" s="57" t="s">
        <v>140</v>
      </c>
      <c r="E324" s="57" t="s">
        <v>563</v>
      </c>
      <c r="F324" s="57" t="s">
        <v>391</v>
      </c>
      <c r="G324" s="92">
        <f>H324+I324</f>
        <v>1803.73</v>
      </c>
      <c r="H324" s="92">
        <f>H325</f>
        <v>0</v>
      </c>
      <c r="I324" s="92">
        <f>I325</f>
        <v>1803.73</v>
      </c>
    </row>
    <row r="325" spans="1:9" ht="48" customHeight="1">
      <c r="A325" s="17" t="s">
        <v>203</v>
      </c>
      <c r="B325" s="21">
        <v>951</v>
      </c>
      <c r="C325" s="35" t="s">
        <v>362</v>
      </c>
      <c r="D325" s="35" t="s">
        <v>140</v>
      </c>
      <c r="E325" s="35" t="s">
        <v>563</v>
      </c>
      <c r="F325" s="35" t="s">
        <v>204</v>
      </c>
      <c r="G325" s="83">
        <f>H325+I325</f>
        <v>1803.73</v>
      </c>
      <c r="H325" s="83">
        <f>H326</f>
        <v>0</v>
      </c>
      <c r="I325" s="83">
        <f>I326</f>
        <v>1803.73</v>
      </c>
    </row>
    <row r="326" spans="1:9" ht="20.25" customHeight="1">
      <c r="A326" s="17" t="s">
        <v>205</v>
      </c>
      <c r="B326" s="21">
        <v>951</v>
      </c>
      <c r="C326" s="35" t="s">
        <v>362</v>
      </c>
      <c r="D326" s="35" t="s">
        <v>140</v>
      </c>
      <c r="E326" s="35" t="s">
        <v>563</v>
      </c>
      <c r="F326" s="35" t="s">
        <v>271</v>
      </c>
      <c r="G326" s="83">
        <f>H326+I326</f>
        <v>1803.73</v>
      </c>
      <c r="H326" s="83">
        <v>0</v>
      </c>
      <c r="I326" s="83">
        <v>1803.73</v>
      </c>
    </row>
    <row r="327" spans="1:9" ht="20.25" customHeight="1">
      <c r="A327" s="17" t="s">
        <v>205</v>
      </c>
      <c r="B327" s="21" t="s">
        <v>169</v>
      </c>
      <c r="C327" s="35" t="s">
        <v>362</v>
      </c>
      <c r="D327" s="35" t="s">
        <v>140</v>
      </c>
      <c r="E327" s="35" t="s">
        <v>563</v>
      </c>
      <c r="F327" s="35" t="s">
        <v>271</v>
      </c>
      <c r="G327" s="83">
        <f>H327+I327</f>
        <v>2.18634</v>
      </c>
      <c r="H327" s="83">
        <f>2.18634</f>
        <v>2.18634</v>
      </c>
      <c r="I327" s="83"/>
    </row>
    <row r="328" spans="1:9" ht="119.25" customHeight="1">
      <c r="A328" s="53" t="s">
        <v>591</v>
      </c>
      <c r="B328" s="21">
        <v>951</v>
      </c>
      <c r="C328" s="57" t="s">
        <v>362</v>
      </c>
      <c r="D328" s="57" t="s">
        <v>140</v>
      </c>
      <c r="E328" s="57" t="s">
        <v>564</v>
      </c>
      <c r="F328" s="57" t="s">
        <v>391</v>
      </c>
      <c r="G328" s="92">
        <f>H328</f>
        <v>16.03283</v>
      </c>
      <c r="H328" s="92">
        <f>H329</f>
        <v>16.03283</v>
      </c>
      <c r="I328" s="92"/>
    </row>
    <row r="329" spans="1:9" ht="48" customHeight="1">
      <c r="A329" s="17" t="s">
        <v>203</v>
      </c>
      <c r="B329" s="21">
        <v>951</v>
      </c>
      <c r="C329" s="35" t="s">
        <v>362</v>
      </c>
      <c r="D329" s="35" t="s">
        <v>140</v>
      </c>
      <c r="E329" s="35" t="s">
        <v>564</v>
      </c>
      <c r="F329" s="35" t="s">
        <v>204</v>
      </c>
      <c r="G329" s="83">
        <f>H329</f>
        <v>16.03283</v>
      </c>
      <c r="H329" s="83">
        <f>H330</f>
        <v>16.03283</v>
      </c>
      <c r="I329" s="83"/>
    </row>
    <row r="330" spans="1:9" ht="15.75" customHeight="1">
      <c r="A330" s="17" t="s">
        <v>205</v>
      </c>
      <c r="B330" s="21">
        <v>951</v>
      </c>
      <c r="C330" s="35" t="s">
        <v>362</v>
      </c>
      <c r="D330" s="35" t="s">
        <v>140</v>
      </c>
      <c r="E330" s="35" t="s">
        <v>564</v>
      </c>
      <c r="F330" s="35" t="s">
        <v>271</v>
      </c>
      <c r="G330" s="83">
        <f>H330</f>
        <v>16.03283</v>
      </c>
      <c r="H330" s="83">
        <f>18.21949+2-2-0.00032-2.18634</f>
        <v>16.03283</v>
      </c>
      <c r="I330" s="83"/>
    </row>
    <row r="331" spans="1:9" ht="89.25" customHeight="1" hidden="1">
      <c r="A331" s="17" t="s">
        <v>747</v>
      </c>
      <c r="B331" s="21">
        <v>951</v>
      </c>
      <c r="C331" s="35" t="s">
        <v>362</v>
      </c>
      <c r="D331" s="35" t="s">
        <v>140</v>
      </c>
      <c r="E331" s="35" t="s">
        <v>775</v>
      </c>
      <c r="F331" s="35" t="s">
        <v>391</v>
      </c>
      <c r="G331" s="83">
        <f>H331</f>
        <v>0</v>
      </c>
      <c r="H331" s="83">
        <f>H332</f>
        <v>0</v>
      </c>
      <c r="I331" s="83"/>
    </row>
    <row r="332" spans="1:9" ht="15.75" customHeight="1" hidden="1">
      <c r="A332" s="17" t="s">
        <v>205</v>
      </c>
      <c r="B332" s="21">
        <v>951</v>
      </c>
      <c r="C332" s="35" t="s">
        <v>362</v>
      </c>
      <c r="D332" s="35" t="s">
        <v>140</v>
      </c>
      <c r="E332" s="35" t="s">
        <v>775</v>
      </c>
      <c r="F332" s="35" t="s">
        <v>271</v>
      </c>
      <c r="G332" s="83">
        <f>H332</f>
        <v>0</v>
      </c>
      <c r="H332" s="83">
        <f>25-25</f>
        <v>0</v>
      </c>
      <c r="I332" s="83"/>
    </row>
    <row r="333" spans="1:9" ht="63" customHeight="1">
      <c r="A333" s="79" t="s">
        <v>514</v>
      </c>
      <c r="B333" s="21">
        <v>951</v>
      </c>
      <c r="C333" s="35" t="s">
        <v>362</v>
      </c>
      <c r="D333" s="35" t="s">
        <v>140</v>
      </c>
      <c r="E333" s="35" t="s">
        <v>75</v>
      </c>
      <c r="F333" s="35" t="s">
        <v>391</v>
      </c>
      <c r="G333" s="83">
        <f t="shared" si="10"/>
        <v>3404.781</v>
      </c>
      <c r="H333" s="83">
        <f>H334</f>
        <v>3404.781</v>
      </c>
      <c r="I333" s="83">
        <f>I334</f>
        <v>0</v>
      </c>
    </row>
    <row r="334" spans="1:9" ht="41.25">
      <c r="A334" s="17" t="s">
        <v>203</v>
      </c>
      <c r="B334" s="21">
        <v>951</v>
      </c>
      <c r="C334" s="35" t="s">
        <v>362</v>
      </c>
      <c r="D334" s="35" t="s">
        <v>140</v>
      </c>
      <c r="E334" s="35" t="s">
        <v>75</v>
      </c>
      <c r="F334" s="35" t="s">
        <v>391</v>
      </c>
      <c r="G334" s="83">
        <f t="shared" si="10"/>
        <v>3404.781</v>
      </c>
      <c r="H334" s="83">
        <f>H335</f>
        <v>3404.781</v>
      </c>
      <c r="I334" s="83">
        <f>I335+I336</f>
        <v>0</v>
      </c>
    </row>
    <row r="335" spans="1:9" ht="27">
      <c r="A335" s="17" t="s">
        <v>210</v>
      </c>
      <c r="B335" s="21">
        <v>951</v>
      </c>
      <c r="C335" s="35" t="s">
        <v>362</v>
      </c>
      <c r="D335" s="35" t="s">
        <v>140</v>
      </c>
      <c r="E335" s="35" t="s">
        <v>75</v>
      </c>
      <c r="F335" s="35" t="s">
        <v>204</v>
      </c>
      <c r="G335" s="83">
        <f t="shared" si="10"/>
        <v>3404.781</v>
      </c>
      <c r="H335" s="83">
        <f>H336</f>
        <v>3404.781</v>
      </c>
      <c r="I335" s="83"/>
    </row>
    <row r="336" spans="1:9" ht="16.5" customHeight="1">
      <c r="A336" s="17" t="s">
        <v>205</v>
      </c>
      <c r="B336" s="21">
        <v>951</v>
      </c>
      <c r="C336" s="35" t="s">
        <v>362</v>
      </c>
      <c r="D336" s="35" t="s">
        <v>140</v>
      </c>
      <c r="E336" s="35" t="s">
        <v>75</v>
      </c>
      <c r="F336" s="35" t="s">
        <v>271</v>
      </c>
      <c r="G336" s="83">
        <f t="shared" si="10"/>
        <v>3404.781</v>
      </c>
      <c r="H336" s="83">
        <f>1566.14+610.1+67+245+578.6+337.941</f>
        <v>3404.781</v>
      </c>
      <c r="I336" s="83"/>
    </row>
    <row r="337" spans="1:9" ht="63" customHeight="1">
      <c r="A337" s="77" t="s">
        <v>565</v>
      </c>
      <c r="B337" s="21">
        <v>951</v>
      </c>
      <c r="C337" s="78" t="s">
        <v>362</v>
      </c>
      <c r="D337" s="78" t="s">
        <v>140</v>
      </c>
      <c r="E337" s="78" t="s">
        <v>566</v>
      </c>
      <c r="F337" s="78" t="s">
        <v>391</v>
      </c>
      <c r="G337" s="91">
        <f>H337+I337</f>
        <v>228.73019</v>
      </c>
      <c r="H337" s="91">
        <f>H341</f>
        <v>2.2873</v>
      </c>
      <c r="I337" s="91">
        <f>I338</f>
        <v>226.44289</v>
      </c>
    </row>
    <row r="338" spans="1:9" ht="69" customHeight="1">
      <c r="A338" s="53" t="s">
        <v>592</v>
      </c>
      <c r="B338" s="21">
        <v>951</v>
      </c>
      <c r="C338" s="57" t="s">
        <v>362</v>
      </c>
      <c r="D338" s="57" t="s">
        <v>140</v>
      </c>
      <c r="E338" s="57" t="s">
        <v>567</v>
      </c>
      <c r="F338" s="57" t="s">
        <v>391</v>
      </c>
      <c r="G338" s="92">
        <f>I338</f>
        <v>226.44289</v>
      </c>
      <c r="H338" s="92"/>
      <c r="I338" s="92">
        <f>I339</f>
        <v>226.44289</v>
      </c>
    </row>
    <row r="339" spans="1:9" ht="48.75" customHeight="1">
      <c r="A339" s="17" t="s">
        <v>203</v>
      </c>
      <c r="B339" s="21">
        <v>951</v>
      </c>
      <c r="C339" s="35" t="s">
        <v>362</v>
      </c>
      <c r="D339" s="35" t="s">
        <v>140</v>
      </c>
      <c r="E339" s="35" t="s">
        <v>567</v>
      </c>
      <c r="F339" s="35" t="s">
        <v>204</v>
      </c>
      <c r="G339" s="83">
        <f>I339</f>
        <v>226.44289</v>
      </c>
      <c r="H339" s="83"/>
      <c r="I339" s="83">
        <f>I340</f>
        <v>226.44289</v>
      </c>
    </row>
    <row r="340" spans="1:9" ht="20.25" customHeight="1">
      <c r="A340" s="17" t="s">
        <v>205</v>
      </c>
      <c r="B340" s="21">
        <v>951</v>
      </c>
      <c r="C340" s="35" t="s">
        <v>362</v>
      </c>
      <c r="D340" s="35" t="s">
        <v>140</v>
      </c>
      <c r="E340" s="35" t="s">
        <v>567</v>
      </c>
      <c r="F340" s="35" t="s">
        <v>271</v>
      </c>
      <c r="G340" s="83">
        <f>I340</f>
        <v>226.44289</v>
      </c>
      <c r="H340" s="83"/>
      <c r="I340" s="83">
        <v>226.44289</v>
      </c>
    </row>
    <row r="341" spans="1:9" ht="97.5" customHeight="1">
      <c r="A341" s="53" t="s">
        <v>593</v>
      </c>
      <c r="B341" s="21">
        <v>951</v>
      </c>
      <c r="C341" s="57" t="s">
        <v>362</v>
      </c>
      <c r="D341" s="57" t="s">
        <v>140</v>
      </c>
      <c r="E341" s="57" t="s">
        <v>568</v>
      </c>
      <c r="F341" s="57" t="s">
        <v>391</v>
      </c>
      <c r="G341" s="92">
        <f>H341</f>
        <v>2.2873</v>
      </c>
      <c r="H341" s="92">
        <f>H342</f>
        <v>2.2873</v>
      </c>
      <c r="I341" s="92"/>
    </row>
    <row r="342" spans="1:9" ht="47.25" customHeight="1">
      <c r="A342" s="17" t="s">
        <v>203</v>
      </c>
      <c r="B342" s="21">
        <v>951</v>
      </c>
      <c r="C342" s="35" t="s">
        <v>362</v>
      </c>
      <c r="D342" s="35" t="s">
        <v>140</v>
      </c>
      <c r="E342" s="35" t="s">
        <v>568</v>
      </c>
      <c r="F342" s="35" t="s">
        <v>204</v>
      </c>
      <c r="G342" s="83">
        <f>H342</f>
        <v>2.2873</v>
      </c>
      <c r="H342" s="83">
        <f>H343</f>
        <v>2.2873</v>
      </c>
      <c r="I342" s="83"/>
    </row>
    <row r="343" spans="1:9" ht="18" customHeight="1">
      <c r="A343" s="17" t="s">
        <v>205</v>
      </c>
      <c r="B343" s="21">
        <v>951</v>
      </c>
      <c r="C343" s="35" t="s">
        <v>362</v>
      </c>
      <c r="D343" s="35" t="s">
        <v>140</v>
      </c>
      <c r="E343" s="35" t="s">
        <v>568</v>
      </c>
      <c r="F343" s="35" t="s">
        <v>271</v>
      </c>
      <c r="G343" s="83">
        <f>H343</f>
        <v>2.2873</v>
      </c>
      <c r="H343" s="83">
        <v>2.2873</v>
      </c>
      <c r="I343" s="83"/>
    </row>
    <row r="344" spans="1:9" ht="87" customHeight="1">
      <c r="A344" s="79" t="s">
        <v>515</v>
      </c>
      <c r="B344" s="21" t="s">
        <v>169</v>
      </c>
      <c r="C344" s="35" t="s">
        <v>362</v>
      </c>
      <c r="D344" s="35" t="s">
        <v>140</v>
      </c>
      <c r="E344" s="35" t="s">
        <v>76</v>
      </c>
      <c r="F344" s="35" t="s">
        <v>391</v>
      </c>
      <c r="G344" s="83">
        <f t="shared" si="10"/>
        <v>1782.8410000000001</v>
      </c>
      <c r="H344" s="83">
        <f>H345</f>
        <v>1782.8410000000001</v>
      </c>
      <c r="I344" s="83">
        <f>I345</f>
        <v>0</v>
      </c>
    </row>
    <row r="345" spans="1:9" ht="41.25">
      <c r="A345" s="17" t="s">
        <v>203</v>
      </c>
      <c r="B345" s="21" t="s">
        <v>169</v>
      </c>
      <c r="C345" s="35" t="s">
        <v>362</v>
      </c>
      <c r="D345" s="35" t="s">
        <v>140</v>
      </c>
      <c r="E345" s="35" t="s">
        <v>76</v>
      </c>
      <c r="F345" s="35" t="s">
        <v>204</v>
      </c>
      <c r="G345" s="83">
        <f aca="true" t="shared" si="20" ref="G345:G355">H345+I345</f>
        <v>1782.8410000000001</v>
      </c>
      <c r="H345" s="83">
        <f>H346</f>
        <v>1782.8410000000001</v>
      </c>
      <c r="I345" s="83">
        <f>I346</f>
        <v>0</v>
      </c>
    </row>
    <row r="346" spans="1:9" ht="13.5">
      <c r="A346" s="17" t="s">
        <v>205</v>
      </c>
      <c r="B346" s="21" t="s">
        <v>169</v>
      </c>
      <c r="C346" s="35" t="s">
        <v>362</v>
      </c>
      <c r="D346" s="35" t="s">
        <v>140</v>
      </c>
      <c r="E346" s="35" t="s">
        <v>76</v>
      </c>
      <c r="F346" s="35" t="s">
        <v>271</v>
      </c>
      <c r="G346" s="83">
        <f t="shared" si="20"/>
        <v>1782.8410000000001</v>
      </c>
      <c r="H346" s="83">
        <f>1181.43+25+217.9+262.9+95.611</f>
        <v>1782.8410000000001</v>
      </c>
      <c r="I346" s="83"/>
    </row>
    <row r="347" spans="1:9" ht="69" hidden="1">
      <c r="A347" s="17" t="s">
        <v>421</v>
      </c>
      <c r="B347" s="21" t="s">
        <v>169</v>
      </c>
      <c r="C347" s="35" t="s">
        <v>362</v>
      </c>
      <c r="D347" s="35" t="s">
        <v>140</v>
      </c>
      <c r="E347" s="35" t="s">
        <v>420</v>
      </c>
      <c r="F347" s="35" t="s">
        <v>391</v>
      </c>
      <c r="G347" s="83">
        <f t="shared" si="20"/>
        <v>0</v>
      </c>
      <c r="H347" s="83"/>
      <c r="I347" s="83">
        <f>I348</f>
        <v>0</v>
      </c>
    </row>
    <row r="348" spans="1:9" ht="41.25" hidden="1">
      <c r="A348" s="17" t="s">
        <v>203</v>
      </c>
      <c r="B348" s="21" t="s">
        <v>169</v>
      </c>
      <c r="C348" s="35" t="s">
        <v>362</v>
      </c>
      <c r="D348" s="35" t="s">
        <v>140</v>
      </c>
      <c r="E348" s="35" t="s">
        <v>420</v>
      </c>
      <c r="F348" s="35" t="s">
        <v>204</v>
      </c>
      <c r="G348" s="83">
        <f t="shared" si="20"/>
        <v>0</v>
      </c>
      <c r="H348" s="83"/>
      <c r="I348" s="83">
        <f>I349</f>
        <v>0</v>
      </c>
    </row>
    <row r="349" spans="1:9" ht="13.5" hidden="1">
      <c r="A349" s="17" t="s">
        <v>205</v>
      </c>
      <c r="B349" s="21" t="s">
        <v>169</v>
      </c>
      <c r="C349" s="35" t="s">
        <v>362</v>
      </c>
      <c r="D349" s="35" t="s">
        <v>140</v>
      </c>
      <c r="E349" s="35" t="s">
        <v>420</v>
      </c>
      <c r="F349" s="35" t="s">
        <v>271</v>
      </c>
      <c r="G349" s="83">
        <f t="shared" si="20"/>
        <v>0</v>
      </c>
      <c r="H349" s="83"/>
      <c r="I349" s="83"/>
    </row>
    <row r="350" spans="1:10" ht="27">
      <c r="A350" s="17" t="s">
        <v>5</v>
      </c>
      <c r="B350" s="21">
        <v>951</v>
      </c>
      <c r="C350" s="35" t="s">
        <v>362</v>
      </c>
      <c r="D350" s="35" t="s">
        <v>151</v>
      </c>
      <c r="E350" s="35" t="s">
        <v>304</v>
      </c>
      <c r="F350" s="35" t="s">
        <v>391</v>
      </c>
      <c r="G350" s="83">
        <f t="shared" si="20"/>
        <v>1726.4862</v>
      </c>
      <c r="H350" s="83">
        <f>H351+H365+H367+H362+H370</f>
        <v>1526.4862</v>
      </c>
      <c r="I350" s="83">
        <f>I351+I365+I367+I362+I370</f>
        <v>200</v>
      </c>
      <c r="J350" s="82"/>
    </row>
    <row r="351" spans="1:9" ht="45" customHeight="1">
      <c r="A351" s="31" t="s">
        <v>457</v>
      </c>
      <c r="B351" s="21">
        <v>952</v>
      </c>
      <c r="C351" s="35" t="s">
        <v>362</v>
      </c>
      <c r="D351" s="35" t="s">
        <v>151</v>
      </c>
      <c r="E351" s="35" t="s">
        <v>867</v>
      </c>
      <c r="F351" s="35" t="s">
        <v>391</v>
      </c>
      <c r="G351" s="83">
        <f t="shared" si="20"/>
        <v>1655.2862</v>
      </c>
      <c r="H351" s="83">
        <f>H352+H355</f>
        <v>1455.2862</v>
      </c>
      <c r="I351" s="83">
        <f>I352+I355</f>
        <v>200</v>
      </c>
    </row>
    <row r="352" spans="1:9" ht="37.5" customHeight="1">
      <c r="A352" s="79" t="s">
        <v>516</v>
      </c>
      <c r="B352" s="21">
        <v>951</v>
      </c>
      <c r="C352" s="35" t="s">
        <v>362</v>
      </c>
      <c r="D352" s="35" t="s">
        <v>151</v>
      </c>
      <c r="E352" s="35" t="s">
        <v>77</v>
      </c>
      <c r="F352" s="35" t="s">
        <v>391</v>
      </c>
      <c r="G352" s="83">
        <f t="shared" si="20"/>
        <v>1453.266</v>
      </c>
      <c r="H352" s="83">
        <f>H353</f>
        <v>1453.266</v>
      </c>
      <c r="I352" s="83">
        <f>I353</f>
        <v>0</v>
      </c>
    </row>
    <row r="353" spans="1:9" ht="45.75" customHeight="1">
      <c r="A353" s="17" t="s">
        <v>203</v>
      </c>
      <c r="B353" s="21">
        <v>951</v>
      </c>
      <c r="C353" s="35" t="s">
        <v>362</v>
      </c>
      <c r="D353" s="35" t="s">
        <v>151</v>
      </c>
      <c r="E353" s="35" t="s">
        <v>77</v>
      </c>
      <c r="F353" s="35" t="s">
        <v>204</v>
      </c>
      <c r="G353" s="83">
        <f t="shared" si="20"/>
        <v>1453.266</v>
      </c>
      <c r="H353" s="83">
        <f>H354</f>
        <v>1453.266</v>
      </c>
      <c r="I353" s="83">
        <f>I354</f>
        <v>0</v>
      </c>
    </row>
    <row r="354" spans="1:9" ht="16.5" customHeight="1">
      <c r="A354" s="17" t="s">
        <v>205</v>
      </c>
      <c r="B354" s="21">
        <v>951</v>
      </c>
      <c r="C354" s="35" t="s">
        <v>362</v>
      </c>
      <c r="D354" s="35" t="s">
        <v>151</v>
      </c>
      <c r="E354" s="35" t="s">
        <v>77</v>
      </c>
      <c r="F354" s="35" t="s">
        <v>271</v>
      </c>
      <c r="G354" s="83">
        <f t="shared" si="20"/>
        <v>1453.266</v>
      </c>
      <c r="H354" s="83">
        <f>897.91+20+100+277.8+157.556</f>
        <v>1453.266</v>
      </c>
      <c r="I354" s="83"/>
    </row>
    <row r="355" spans="1:9" ht="43.5" customHeight="1">
      <c r="A355" s="77" t="s">
        <v>857</v>
      </c>
      <c r="B355" s="84" t="s">
        <v>169</v>
      </c>
      <c r="C355" s="78" t="s">
        <v>362</v>
      </c>
      <c r="D355" s="78" t="s">
        <v>151</v>
      </c>
      <c r="E355" s="78" t="s">
        <v>72</v>
      </c>
      <c r="F355" s="78" t="s">
        <v>391</v>
      </c>
      <c r="G355" s="91">
        <f t="shared" si="20"/>
        <v>202.0202</v>
      </c>
      <c r="H355" s="91">
        <f>H359</f>
        <v>2.0202</v>
      </c>
      <c r="I355" s="91">
        <f>I356</f>
        <v>200</v>
      </c>
    </row>
    <row r="356" spans="1:9" ht="55.5" customHeight="1">
      <c r="A356" s="17" t="s">
        <v>858</v>
      </c>
      <c r="B356" s="21" t="s">
        <v>169</v>
      </c>
      <c r="C356" s="35" t="s">
        <v>362</v>
      </c>
      <c r="D356" s="35" t="s">
        <v>151</v>
      </c>
      <c r="E356" s="35" t="s">
        <v>860</v>
      </c>
      <c r="F356" s="35" t="s">
        <v>391</v>
      </c>
      <c r="G356" s="83">
        <f aca="true" t="shared" si="21" ref="G356:G361">H356+I356</f>
        <v>200</v>
      </c>
      <c r="H356" s="83"/>
      <c r="I356" s="83">
        <f>I357</f>
        <v>200</v>
      </c>
    </row>
    <row r="357" spans="1:9" ht="45" customHeight="1">
      <c r="A357" s="17" t="s">
        <v>203</v>
      </c>
      <c r="B357" s="21" t="s">
        <v>169</v>
      </c>
      <c r="C357" s="35" t="s">
        <v>362</v>
      </c>
      <c r="D357" s="35" t="s">
        <v>151</v>
      </c>
      <c r="E357" s="35" t="s">
        <v>860</v>
      </c>
      <c r="F357" s="35" t="s">
        <v>204</v>
      </c>
      <c r="G357" s="83">
        <f t="shared" si="21"/>
        <v>200</v>
      </c>
      <c r="H357" s="83"/>
      <c r="I357" s="83">
        <f>I358</f>
        <v>200</v>
      </c>
    </row>
    <row r="358" spans="1:9" ht="20.25" customHeight="1">
      <c r="A358" s="17" t="s">
        <v>205</v>
      </c>
      <c r="B358" s="21" t="s">
        <v>169</v>
      </c>
      <c r="C358" s="35" t="s">
        <v>362</v>
      </c>
      <c r="D358" s="35" t="s">
        <v>151</v>
      </c>
      <c r="E358" s="35" t="s">
        <v>860</v>
      </c>
      <c r="F358" s="35" t="s">
        <v>271</v>
      </c>
      <c r="G358" s="83">
        <f t="shared" si="21"/>
        <v>200</v>
      </c>
      <c r="H358" s="83"/>
      <c r="I358" s="83">
        <v>200</v>
      </c>
    </row>
    <row r="359" spans="1:9" ht="75.75" customHeight="1">
      <c r="A359" s="17" t="s">
        <v>859</v>
      </c>
      <c r="B359" s="21" t="s">
        <v>169</v>
      </c>
      <c r="C359" s="35" t="s">
        <v>362</v>
      </c>
      <c r="D359" s="35" t="s">
        <v>151</v>
      </c>
      <c r="E359" s="35" t="s">
        <v>861</v>
      </c>
      <c r="F359" s="35" t="s">
        <v>391</v>
      </c>
      <c r="G359" s="83">
        <f t="shared" si="21"/>
        <v>2.0202</v>
      </c>
      <c r="H359" s="83">
        <f>H360</f>
        <v>2.0202</v>
      </c>
      <c r="I359" s="83"/>
    </row>
    <row r="360" spans="1:9" ht="42.75" customHeight="1">
      <c r="A360" s="17" t="s">
        <v>203</v>
      </c>
      <c r="B360" s="21" t="s">
        <v>169</v>
      </c>
      <c r="C360" s="35" t="s">
        <v>362</v>
      </c>
      <c r="D360" s="35" t="s">
        <v>151</v>
      </c>
      <c r="E360" s="35" t="s">
        <v>861</v>
      </c>
      <c r="F360" s="35" t="s">
        <v>204</v>
      </c>
      <c r="G360" s="83">
        <f t="shared" si="21"/>
        <v>2.0202</v>
      </c>
      <c r="H360" s="83">
        <f>H361</f>
        <v>2.0202</v>
      </c>
      <c r="I360" s="83"/>
    </row>
    <row r="361" spans="1:9" ht="21" customHeight="1">
      <c r="A361" s="17" t="s">
        <v>205</v>
      </c>
      <c r="B361" s="21" t="s">
        <v>169</v>
      </c>
      <c r="C361" s="35" t="s">
        <v>362</v>
      </c>
      <c r="D361" s="35" t="s">
        <v>151</v>
      </c>
      <c r="E361" s="35" t="s">
        <v>861</v>
      </c>
      <c r="F361" s="35" t="s">
        <v>271</v>
      </c>
      <c r="G361" s="83">
        <f t="shared" si="21"/>
        <v>2.0202</v>
      </c>
      <c r="H361" s="83">
        <v>2.0202</v>
      </c>
      <c r="I361" s="83"/>
    </row>
    <row r="362" spans="1:9" ht="41.25">
      <c r="A362" s="53" t="s">
        <v>452</v>
      </c>
      <c r="B362" s="72">
        <v>951</v>
      </c>
      <c r="C362" s="57" t="s">
        <v>362</v>
      </c>
      <c r="D362" s="57" t="s">
        <v>151</v>
      </c>
      <c r="E362" s="57" t="s">
        <v>26</v>
      </c>
      <c r="F362" s="57" t="s">
        <v>391</v>
      </c>
      <c r="G362" s="92">
        <f aca="true" t="shared" si="22" ref="G362:G381">H362+I362</f>
        <v>39</v>
      </c>
      <c r="H362" s="92">
        <f>H363</f>
        <v>39</v>
      </c>
      <c r="I362" s="92">
        <f>I363</f>
        <v>0</v>
      </c>
    </row>
    <row r="363" spans="1:9" ht="27">
      <c r="A363" s="17" t="s">
        <v>78</v>
      </c>
      <c r="B363" s="21">
        <v>951</v>
      </c>
      <c r="C363" s="35" t="s">
        <v>362</v>
      </c>
      <c r="D363" s="35" t="s">
        <v>151</v>
      </c>
      <c r="E363" s="35" t="s">
        <v>476</v>
      </c>
      <c r="F363" s="35" t="s">
        <v>391</v>
      </c>
      <c r="G363" s="83">
        <f t="shared" si="22"/>
        <v>39</v>
      </c>
      <c r="H363" s="83">
        <f>H364</f>
        <v>39</v>
      </c>
      <c r="I363" s="83">
        <f>I364</f>
        <v>0</v>
      </c>
    </row>
    <row r="364" spans="1:9" ht="13.5">
      <c r="A364" s="17" t="s">
        <v>205</v>
      </c>
      <c r="B364" s="21">
        <v>951</v>
      </c>
      <c r="C364" s="35" t="s">
        <v>362</v>
      </c>
      <c r="D364" s="35" t="s">
        <v>151</v>
      </c>
      <c r="E364" s="35" t="s">
        <v>79</v>
      </c>
      <c r="F364" s="35" t="s">
        <v>271</v>
      </c>
      <c r="G364" s="83">
        <f t="shared" si="22"/>
        <v>39</v>
      </c>
      <c r="H364" s="83">
        <v>39</v>
      </c>
      <c r="I364" s="83"/>
    </row>
    <row r="365" spans="1:9" ht="54.75">
      <c r="A365" s="53" t="s">
        <v>454</v>
      </c>
      <c r="B365" s="72">
        <v>951</v>
      </c>
      <c r="C365" s="57" t="s">
        <v>362</v>
      </c>
      <c r="D365" s="57" t="s">
        <v>151</v>
      </c>
      <c r="E365" s="57" t="s">
        <v>67</v>
      </c>
      <c r="F365" s="57" t="s">
        <v>391</v>
      </c>
      <c r="G365" s="92">
        <f t="shared" si="22"/>
        <v>2</v>
      </c>
      <c r="H365" s="92">
        <f>H366</f>
        <v>2</v>
      </c>
      <c r="I365" s="92">
        <f>I366</f>
        <v>0</v>
      </c>
    </row>
    <row r="366" spans="1:9" ht="27">
      <c r="A366" s="17" t="s">
        <v>323</v>
      </c>
      <c r="B366" s="21">
        <v>951</v>
      </c>
      <c r="C366" s="35" t="s">
        <v>362</v>
      </c>
      <c r="D366" s="35" t="s">
        <v>151</v>
      </c>
      <c r="E366" s="35" t="s">
        <v>80</v>
      </c>
      <c r="F366" s="35" t="s">
        <v>271</v>
      </c>
      <c r="G366" s="83">
        <f t="shared" si="22"/>
        <v>2</v>
      </c>
      <c r="H366" s="83">
        <v>2</v>
      </c>
      <c r="I366" s="83"/>
    </row>
    <row r="367" spans="1:9" ht="41.25" hidden="1">
      <c r="A367" s="53" t="s">
        <v>269</v>
      </c>
      <c r="B367" s="21">
        <v>952</v>
      </c>
      <c r="C367" s="35" t="s">
        <v>362</v>
      </c>
      <c r="D367" s="35" t="s">
        <v>151</v>
      </c>
      <c r="E367" s="57" t="s">
        <v>36</v>
      </c>
      <c r="F367" s="57" t="s">
        <v>391</v>
      </c>
      <c r="G367" s="92">
        <f t="shared" si="22"/>
        <v>0</v>
      </c>
      <c r="H367" s="92">
        <f>H368</f>
        <v>0</v>
      </c>
      <c r="I367" s="92">
        <f>I368+I369</f>
        <v>0</v>
      </c>
    </row>
    <row r="368" spans="1:9" ht="13.5" hidden="1">
      <c r="A368" s="17" t="s">
        <v>205</v>
      </c>
      <c r="B368" s="21">
        <v>953</v>
      </c>
      <c r="C368" s="35" t="s">
        <v>362</v>
      </c>
      <c r="D368" s="35" t="s">
        <v>151</v>
      </c>
      <c r="E368" s="35" t="s">
        <v>478</v>
      </c>
      <c r="F368" s="35" t="s">
        <v>271</v>
      </c>
      <c r="G368" s="83">
        <f t="shared" si="22"/>
        <v>0</v>
      </c>
      <c r="H368" s="83"/>
      <c r="I368" s="83"/>
    </row>
    <row r="369" spans="1:9" ht="27" hidden="1">
      <c r="A369" s="17" t="s">
        <v>486</v>
      </c>
      <c r="B369" s="21">
        <v>954</v>
      </c>
      <c r="C369" s="35" t="s">
        <v>362</v>
      </c>
      <c r="D369" s="35" t="s">
        <v>151</v>
      </c>
      <c r="E369" s="35" t="s">
        <v>478</v>
      </c>
      <c r="F369" s="35" t="s">
        <v>271</v>
      </c>
      <c r="G369" s="83">
        <f t="shared" si="22"/>
        <v>0</v>
      </c>
      <c r="H369" s="83">
        <v>0</v>
      </c>
      <c r="I369" s="83"/>
    </row>
    <row r="370" spans="1:9" ht="73.5" customHeight="1">
      <c r="A370" s="53" t="s">
        <v>506</v>
      </c>
      <c r="B370" s="72">
        <v>951</v>
      </c>
      <c r="C370" s="57" t="s">
        <v>362</v>
      </c>
      <c r="D370" s="57" t="s">
        <v>151</v>
      </c>
      <c r="E370" s="57" t="s">
        <v>504</v>
      </c>
      <c r="F370" s="57" t="s">
        <v>391</v>
      </c>
      <c r="G370" s="92">
        <f t="shared" si="22"/>
        <v>30.2</v>
      </c>
      <c r="H370" s="92">
        <f>H371</f>
        <v>30.2</v>
      </c>
      <c r="I370" s="92"/>
    </row>
    <row r="371" spans="1:9" ht="42.75" customHeight="1">
      <c r="A371" s="17" t="s">
        <v>203</v>
      </c>
      <c r="B371" s="21">
        <v>951</v>
      </c>
      <c r="C371" s="35" t="s">
        <v>362</v>
      </c>
      <c r="D371" s="35" t="s">
        <v>151</v>
      </c>
      <c r="E371" s="35" t="s">
        <v>823</v>
      </c>
      <c r="F371" s="35" t="s">
        <v>204</v>
      </c>
      <c r="G371" s="83">
        <f t="shared" si="22"/>
        <v>30.2</v>
      </c>
      <c r="H371" s="83">
        <f>H372</f>
        <v>30.2</v>
      </c>
      <c r="I371" s="83"/>
    </row>
    <row r="372" spans="1:9" ht="19.5" customHeight="1">
      <c r="A372" s="17" t="s">
        <v>205</v>
      </c>
      <c r="B372" s="21">
        <v>951</v>
      </c>
      <c r="C372" s="35" t="s">
        <v>362</v>
      </c>
      <c r="D372" s="35" t="s">
        <v>151</v>
      </c>
      <c r="E372" s="35" t="s">
        <v>823</v>
      </c>
      <c r="F372" s="35" t="s">
        <v>271</v>
      </c>
      <c r="G372" s="83">
        <f t="shared" si="22"/>
        <v>30.2</v>
      </c>
      <c r="H372" s="83">
        <v>30.2</v>
      </c>
      <c r="I372" s="83"/>
    </row>
    <row r="373" spans="1:9" ht="19.5" customHeight="1">
      <c r="A373" s="103" t="s">
        <v>212</v>
      </c>
      <c r="B373" s="171">
        <v>951</v>
      </c>
      <c r="C373" s="78" t="s">
        <v>213</v>
      </c>
      <c r="D373" s="78" t="s">
        <v>141</v>
      </c>
      <c r="E373" s="78" t="s">
        <v>304</v>
      </c>
      <c r="F373" s="78" t="s">
        <v>391</v>
      </c>
      <c r="G373" s="121">
        <f t="shared" si="22"/>
        <v>34698.92682</v>
      </c>
      <c r="H373" s="121">
        <f>H374+H379+H393</f>
        <v>777.6</v>
      </c>
      <c r="I373" s="121">
        <f>I374+I379+I393</f>
        <v>33921.32682</v>
      </c>
    </row>
    <row r="374" spans="1:9" ht="16.5" customHeight="1">
      <c r="A374" s="73" t="s">
        <v>134</v>
      </c>
      <c r="B374" s="85">
        <v>951</v>
      </c>
      <c r="C374" s="71" t="s">
        <v>213</v>
      </c>
      <c r="D374" s="71" t="s">
        <v>140</v>
      </c>
      <c r="E374" s="71" t="s">
        <v>304</v>
      </c>
      <c r="F374" s="71" t="s">
        <v>391</v>
      </c>
      <c r="G374" s="86">
        <f t="shared" si="22"/>
        <v>767.6</v>
      </c>
      <c r="H374" s="86">
        <f aca="true" t="shared" si="23" ref="H374:I377">H375</f>
        <v>767.6</v>
      </c>
      <c r="I374" s="86">
        <f t="shared" si="23"/>
        <v>0</v>
      </c>
    </row>
    <row r="375" spans="1:9" ht="31.5" customHeight="1">
      <c r="A375" s="17" t="s">
        <v>569</v>
      </c>
      <c r="B375" s="21">
        <v>951</v>
      </c>
      <c r="C375" s="35" t="s">
        <v>213</v>
      </c>
      <c r="D375" s="35" t="s">
        <v>140</v>
      </c>
      <c r="E375" s="35" t="s">
        <v>81</v>
      </c>
      <c r="F375" s="35" t="s">
        <v>391</v>
      </c>
      <c r="G375" s="83">
        <f t="shared" si="22"/>
        <v>767.6</v>
      </c>
      <c r="H375" s="83">
        <f t="shared" si="23"/>
        <v>767.6</v>
      </c>
      <c r="I375" s="83">
        <f t="shared" si="23"/>
        <v>0</v>
      </c>
    </row>
    <row r="376" spans="1:9" ht="43.5" customHeight="1">
      <c r="A376" s="17" t="s">
        <v>135</v>
      </c>
      <c r="B376" s="21">
        <v>951</v>
      </c>
      <c r="C376" s="35" t="s">
        <v>213</v>
      </c>
      <c r="D376" s="35" t="s">
        <v>140</v>
      </c>
      <c r="E376" s="35" t="s">
        <v>81</v>
      </c>
      <c r="F376" s="35" t="s">
        <v>391</v>
      </c>
      <c r="G376" s="83">
        <f t="shared" si="22"/>
        <v>767.6</v>
      </c>
      <c r="H376" s="83">
        <f t="shared" si="23"/>
        <v>767.6</v>
      </c>
      <c r="I376" s="83">
        <f t="shared" si="23"/>
        <v>0</v>
      </c>
    </row>
    <row r="377" spans="1:9" ht="27">
      <c r="A377" s="17" t="s">
        <v>194</v>
      </c>
      <c r="B377" s="21">
        <v>951</v>
      </c>
      <c r="C377" s="35" t="s">
        <v>213</v>
      </c>
      <c r="D377" s="35" t="s">
        <v>140</v>
      </c>
      <c r="E377" s="35" t="s">
        <v>81</v>
      </c>
      <c r="F377" s="35" t="s">
        <v>150</v>
      </c>
      <c r="G377" s="83">
        <f t="shared" si="22"/>
        <v>767.6</v>
      </c>
      <c r="H377" s="83">
        <f t="shared" si="23"/>
        <v>767.6</v>
      </c>
      <c r="I377" s="83">
        <f t="shared" si="23"/>
        <v>0</v>
      </c>
    </row>
    <row r="378" spans="1:9" ht="30" customHeight="1">
      <c r="A378" s="17" t="s">
        <v>195</v>
      </c>
      <c r="B378" s="21">
        <v>951</v>
      </c>
      <c r="C378" s="35" t="s">
        <v>213</v>
      </c>
      <c r="D378" s="35" t="s">
        <v>140</v>
      </c>
      <c r="E378" s="35" t="s">
        <v>81</v>
      </c>
      <c r="F378" s="35" t="s">
        <v>196</v>
      </c>
      <c r="G378" s="83">
        <f t="shared" si="22"/>
        <v>767.6</v>
      </c>
      <c r="H378" s="83">
        <f>683+84.6</f>
        <v>767.6</v>
      </c>
      <c r="I378" s="83"/>
    </row>
    <row r="379" spans="1:9" ht="17.25" customHeight="1">
      <c r="A379" s="73" t="s">
        <v>570</v>
      </c>
      <c r="B379" s="85">
        <v>951</v>
      </c>
      <c r="C379" s="71" t="s">
        <v>213</v>
      </c>
      <c r="D379" s="71" t="s">
        <v>147</v>
      </c>
      <c r="E379" s="71" t="s">
        <v>304</v>
      </c>
      <c r="F379" s="71" t="s">
        <v>391</v>
      </c>
      <c r="G379" s="86">
        <f t="shared" si="22"/>
        <v>10</v>
      </c>
      <c r="H379" s="86">
        <f>H380+H385</f>
        <v>10</v>
      </c>
      <c r="I379" s="86">
        <f>I380+I385</f>
        <v>0</v>
      </c>
    </row>
    <row r="380" spans="1:9" ht="50.25" customHeight="1" hidden="1">
      <c r="A380" s="53" t="s">
        <v>792</v>
      </c>
      <c r="B380" s="21">
        <v>951</v>
      </c>
      <c r="C380" s="57" t="s">
        <v>213</v>
      </c>
      <c r="D380" s="57" t="s">
        <v>147</v>
      </c>
      <c r="E380" s="57" t="s">
        <v>82</v>
      </c>
      <c r="F380" s="57" t="s">
        <v>391</v>
      </c>
      <c r="G380" s="92">
        <f t="shared" si="22"/>
        <v>0</v>
      </c>
      <c r="H380" s="92">
        <f>H381</f>
        <v>0</v>
      </c>
      <c r="I380" s="92">
        <f>I381</f>
        <v>0</v>
      </c>
    </row>
    <row r="381" spans="1:9" ht="29.25" customHeight="1" hidden="1">
      <c r="A381" s="17" t="s">
        <v>197</v>
      </c>
      <c r="B381" s="21">
        <v>951</v>
      </c>
      <c r="C381" s="35" t="s">
        <v>213</v>
      </c>
      <c r="D381" s="35" t="s">
        <v>147</v>
      </c>
      <c r="E381" s="35" t="s">
        <v>83</v>
      </c>
      <c r="F381" s="35" t="s">
        <v>198</v>
      </c>
      <c r="G381" s="83">
        <f t="shared" si="22"/>
        <v>0</v>
      </c>
      <c r="H381" s="83">
        <f>200-200</f>
        <v>0</v>
      </c>
      <c r="I381" s="83"/>
    </row>
    <row r="382" spans="1:9" ht="17.25" customHeight="1" hidden="1">
      <c r="A382" s="142" t="s">
        <v>521</v>
      </c>
      <c r="B382" s="85">
        <v>952</v>
      </c>
      <c r="C382" s="35" t="s">
        <v>213</v>
      </c>
      <c r="D382" s="35" t="s">
        <v>147</v>
      </c>
      <c r="E382" s="71" t="s">
        <v>304</v>
      </c>
      <c r="F382" s="71" t="s">
        <v>391</v>
      </c>
      <c r="G382" s="86">
        <f>H382</f>
        <v>0</v>
      </c>
      <c r="H382" s="86">
        <f>H383</f>
        <v>0</v>
      </c>
      <c r="I382" s="86"/>
    </row>
    <row r="383" spans="1:9" ht="29.25" customHeight="1" hidden="1">
      <c r="A383" s="17" t="s">
        <v>194</v>
      </c>
      <c r="B383" s="21">
        <v>953</v>
      </c>
      <c r="C383" s="35" t="s">
        <v>213</v>
      </c>
      <c r="D383" s="35" t="s">
        <v>147</v>
      </c>
      <c r="E383" s="35" t="s">
        <v>522</v>
      </c>
      <c r="F383" s="35" t="s">
        <v>150</v>
      </c>
      <c r="G383" s="83">
        <f>H383</f>
        <v>0</v>
      </c>
      <c r="H383" s="83">
        <f>H384</f>
        <v>0</v>
      </c>
      <c r="I383" s="83"/>
    </row>
    <row r="384" spans="1:9" ht="29.25" customHeight="1" hidden="1">
      <c r="A384" s="17" t="s">
        <v>197</v>
      </c>
      <c r="B384" s="21">
        <v>954</v>
      </c>
      <c r="C384" s="35" t="s">
        <v>213</v>
      </c>
      <c r="D384" s="35" t="s">
        <v>147</v>
      </c>
      <c r="E384" s="35" t="s">
        <v>522</v>
      </c>
      <c r="F384" s="35" t="s">
        <v>198</v>
      </c>
      <c r="G384" s="83">
        <f>H384</f>
        <v>0</v>
      </c>
      <c r="H384" s="83"/>
      <c r="I384" s="83"/>
    </row>
    <row r="385" spans="1:9" ht="33.75" customHeight="1">
      <c r="A385" s="17" t="s">
        <v>143</v>
      </c>
      <c r="B385" s="21" t="s">
        <v>169</v>
      </c>
      <c r="C385" s="35" t="s">
        <v>213</v>
      </c>
      <c r="D385" s="35" t="s">
        <v>147</v>
      </c>
      <c r="E385" s="35" t="s">
        <v>304</v>
      </c>
      <c r="F385" s="35" t="s">
        <v>391</v>
      </c>
      <c r="G385" s="83">
        <f>H385+I385</f>
        <v>10</v>
      </c>
      <c r="H385" s="83">
        <f aca="true" t="shared" si="24" ref="H385:I388">H386</f>
        <v>10</v>
      </c>
      <c r="I385" s="83">
        <f t="shared" si="24"/>
        <v>0</v>
      </c>
    </row>
    <row r="386" spans="1:9" ht="42" customHeight="1">
      <c r="A386" s="17" t="s">
        <v>144</v>
      </c>
      <c r="B386" s="21" t="s">
        <v>169</v>
      </c>
      <c r="C386" s="35" t="s">
        <v>213</v>
      </c>
      <c r="D386" s="35" t="s">
        <v>147</v>
      </c>
      <c r="E386" s="35" t="s">
        <v>304</v>
      </c>
      <c r="F386" s="35" t="s">
        <v>391</v>
      </c>
      <c r="G386" s="83">
        <f>G387</f>
        <v>0</v>
      </c>
      <c r="H386" s="83">
        <f>H387+H390</f>
        <v>10</v>
      </c>
      <c r="I386" s="83">
        <f t="shared" si="24"/>
        <v>0</v>
      </c>
    </row>
    <row r="387" spans="1:9" ht="210" customHeight="1" hidden="1">
      <c r="A387" s="54" t="s">
        <v>880</v>
      </c>
      <c r="B387" s="72" t="s">
        <v>169</v>
      </c>
      <c r="C387" s="57" t="s">
        <v>213</v>
      </c>
      <c r="D387" s="57" t="s">
        <v>147</v>
      </c>
      <c r="E387" s="57" t="s">
        <v>872</v>
      </c>
      <c r="F387" s="57" t="s">
        <v>391</v>
      </c>
      <c r="G387" s="92">
        <f aca="true" t="shared" si="25" ref="G387:G394">H387+I387</f>
        <v>0</v>
      </c>
      <c r="H387" s="92">
        <f t="shared" si="24"/>
        <v>0</v>
      </c>
      <c r="I387" s="92">
        <f t="shared" si="24"/>
        <v>0</v>
      </c>
    </row>
    <row r="388" spans="1:9" ht="18.75" customHeight="1" hidden="1">
      <c r="A388" s="44" t="s">
        <v>185</v>
      </c>
      <c r="B388" s="21" t="s">
        <v>169</v>
      </c>
      <c r="C388" s="35" t="s">
        <v>213</v>
      </c>
      <c r="D388" s="35" t="s">
        <v>147</v>
      </c>
      <c r="E388" s="35" t="s">
        <v>872</v>
      </c>
      <c r="F388" s="35" t="s">
        <v>186</v>
      </c>
      <c r="G388" s="83">
        <f t="shared" si="25"/>
        <v>0</v>
      </c>
      <c r="H388" s="83">
        <f t="shared" si="24"/>
        <v>0</v>
      </c>
      <c r="I388" s="83">
        <f t="shared" si="24"/>
        <v>0</v>
      </c>
    </row>
    <row r="389" spans="1:9" ht="29.25" customHeight="1" hidden="1">
      <c r="A389" s="44" t="s">
        <v>879</v>
      </c>
      <c r="B389" s="21" t="s">
        <v>169</v>
      </c>
      <c r="C389" s="35" t="s">
        <v>213</v>
      </c>
      <c r="D389" s="35" t="s">
        <v>147</v>
      </c>
      <c r="E389" s="35" t="s">
        <v>872</v>
      </c>
      <c r="F389" s="35" t="s">
        <v>369</v>
      </c>
      <c r="G389" s="83">
        <f t="shared" si="25"/>
        <v>0</v>
      </c>
      <c r="H389" s="83">
        <v>0</v>
      </c>
      <c r="I389" s="83">
        <f>89.342-89.342</f>
        <v>0</v>
      </c>
    </row>
    <row r="390" spans="1:9" ht="57" customHeight="1">
      <c r="A390" s="54" t="s">
        <v>938</v>
      </c>
      <c r="B390" s="72" t="s">
        <v>169</v>
      </c>
      <c r="C390" s="57" t="s">
        <v>213</v>
      </c>
      <c r="D390" s="57" t="s">
        <v>147</v>
      </c>
      <c r="E390" s="57" t="s">
        <v>937</v>
      </c>
      <c r="F390" s="57" t="s">
        <v>391</v>
      </c>
      <c r="G390" s="92">
        <f t="shared" si="25"/>
        <v>10</v>
      </c>
      <c r="H390" s="92">
        <f>H391</f>
        <v>10</v>
      </c>
      <c r="I390" s="92"/>
    </row>
    <row r="391" spans="1:9" ht="29.25" customHeight="1">
      <c r="A391" s="17" t="s">
        <v>194</v>
      </c>
      <c r="B391" s="21" t="s">
        <v>169</v>
      </c>
      <c r="C391" s="35" t="s">
        <v>213</v>
      </c>
      <c r="D391" s="35" t="s">
        <v>147</v>
      </c>
      <c r="E391" s="35" t="s">
        <v>937</v>
      </c>
      <c r="F391" s="35" t="s">
        <v>150</v>
      </c>
      <c r="G391" s="83">
        <f t="shared" si="25"/>
        <v>10</v>
      </c>
      <c r="H391" s="83">
        <f>H392</f>
        <v>10</v>
      </c>
      <c r="I391" s="83"/>
    </row>
    <row r="392" spans="1:9" ht="29.25" customHeight="1">
      <c r="A392" s="17" t="s">
        <v>197</v>
      </c>
      <c r="B392" s="21" t="s">
        <v>169</v>
      </c>
      <c r="C392" s="35" t="s">
        <v>213</v>
      </c>
      <c r="D392" s="35" t="s">
        <v>147</v>
      </c>
      <c r="E392" s="35" t="s">
        <v>937</v>
      </c>
      <c r="F392" s="35" t="s">
        <v>198</v>
      </c>
      <c r="G392" s="83">
        <f t="shared" si="25"/>
        <v>10</v>
      </c>
      <c r="H392" s="83">
        <v>10</v>
      </c>
      <c r="I392" s="83"/>
    </row>
    <row r="393" spans="1:9" ht="19.5" customHeight="1">
      <c r="A393" s="73" t="s">
        <v>384</v>
      </c>
      <c r="B393" s="85">
        <v>951</v>
      </c>
      <c r="C393" s="71" t="s">
        <v>213</v>
      </c>
      <c r="D393" s="71" t="s">
        <v>151</v>
      </c>
      <c r="E393" s="71" t="s">
        <v>304</v>
      </c>
      <c r="F393" s="71" t="s">
        <v>391</v>
      </c>
      <c r="G393" s="86">
        <f t="shared" si="25"/>
        <v>33921.32682</v>
      </c>
      <c r="H393" s="86">
        <f>H394</f>
        <v>0</v>
      </c>
      <c r="I393" s="86">
        <f>I394</f>
        <v>33921.32682</v>
      </c>
    </row>
    <row r="394" spans="1:11" ht="120.75" customHeight="1">
      <c r="A394" s="73" t="s">
        <v>817</v>
      </c>
      <c r="B394" s="85">
        <v>951</v>
      </c>
      <c r="C394" s="71" t="s">
        <v>213</v>
      </c>
      <c r="D394" s="71" t="s">
        <v>151</v>
      </c>
      <c r="E394" s="71" t="s">
        <v>765</v>
      </c>
      <c r="F394" s="71" t="s">
        <v>391</v>
      </c>
      <c r="G394" s="86">
        <f t="shared" si="25"/>
        <v>33921.32682</v>
      </c>
      <c r="H394" s="86">
        <f>H395+H400+H406</f>
        <v>0</v>
      </c>
      <c r="I394" s="86">
        <f>I395+I400+I406</f>
        <v>33921.32682</v>
      </c>
      <c r="K394" s="82"/>
    </row>
    <row r="395" spans="1:9" ht="58.5" customHeight="1">
      <c r="A395" s="54" t="s">
        <v>594</v>
      </c>
      <c r="B395" s="72">
        <v>951</v>
      </c>
      <c r="C395" s="57" t="s">
        <v>213</v>
      </c>
      <c r="D395" s="57" t="s">
        <v>151</v>
      </c>
      <c r="E395" s="57" t="s">
        <v>771</v>
      </c>
      <c r="F395" s="57" t="s">
        <v>391</v>
      </c>
      <c r="G395" s="92">
        <f>I395</f>
        <v>21464.92</v>
      </c>
      <c r="H395" s="92"/>
      <c r="I395" s="92">
        <f>I396+I398</f>
        <v>21464.92</v>
      </c>
    </row>
    <row r="396" spans="1:9" ht="33.75" customHeight="1">
      <c r="A396" s="17" t="s">
        <v>180</v>
      </c>
      <c r="B396" s="21" t="s">
        <v>169</v>
      </c>
      <c r="C396" s="35" t="s">
        <v>213</v>
      </c>
      <c r="D396" s="35" t="s">
        <v>151</v>
      </c>
      <c r="E396" s="35" t="s">
        <v>771</v>
      </c>
      <c r="F396" s="35" t="s">
        <v>149</v>
      </c>
      <c r="G396" s="83">
        <f>H396+I396</f>
        <v>247.654</v>
      </c>
      <c r="H396" s="83"/>
      <c r="I396" s="83">
        <f>I397</f>
        <v>247.654</v>
      </c>
    </row>
    <row r="397" spans="1:9" ht="45.75" customHeight="1">
      <c r="A397" s="44" t="s">
        <v>181</v>
      </c>
      <c r="B397" s="21" t="s">
        <v>169</v>
      </c>
      <c r="C397" s="35" t="s">
        <v>213</v>
      </c>
      <c r="D397" s="35" t="s">
        <v>151</v>
      </c>
      <c r="E397" s="35" t="s">
        <v>771</v>
      </c>
      <c r="F397" s="35" t="s">
        <v>182</v>
      </c>
      <c r="G397" s="83">
        <f>H397+I397</f>
        <v>247.654</v>
      </c>
      <c r="H397" s="83"/>
      <c r="I397" s="83">
        <f>383.52-170+34.134</f>
        <v>247.654</v>
      </c>
    </row>
    <row r="398" spans="1:9" ht="42" customHeight="1">
      <c r="A398" s="44" t="s">
        <v>572</v>
      </c>
      <c r="B398" s="21">
        <v>951</v>
      </c>
      <c r="C398" s="35" t="s">
        <v>213</v>
      </c>
      <c r="D398" s="35" t="s">
        <v>151</v>
      </c>
      <c r="E398" s="35" t="s">
        <v>771</v>
      </c>
      <c r="F398" s="35" t="s">
        <v>573</v>
      </c>
      <c r="G398" s="83">
        <f>I398</f>
        <v>21217.266</v>
      </c>
      <c r="H398" s="83"/>
      <c r="I398" s="83">
        <f>I399</f>
        <v>21217.266</v>
      </c>
    </row>
    <row r="399" spans="1:9" ht="16.5" customHeight="1">
      <c r="A399" s="44" t="s">
        <v>574</v>
      </c>
      <c r="B399" s="21">
        <v>951</v>
      </c>
      <c r="C399" s="35" t="s">
        <v>213</v>
      </c>
      <c r="D399" s="35" t="s">
        <v>151</v>
      </c>
      <c r="E399" s="35" t="s">
        <v>771</v>
      </c>
      <c r="F399" s="35" t="s">
        <v>575</v>
      </c>
      <c r="G399" s="83">
        <f>I399</f>
        <v>21217.266</v>
      </c>
      <c r="H399" s="83"/>
      <c r="I399" s="83">
        <f>21118.07693-383.52+170+33.84307+325.52-12.52-34.134</f>
        <v>21217.266</v>
      </c>
    </row>
    <row r="400" spans="1:11" ht="103.5" customHeight="1">
      <c r="A400" s="53" t="s">
        <v>645</v>
      </c>
      <c r="B400" s="21">
        <v>951</v>
      </c>
      <c r="C400" s="35" t="s">
        <v>213</v>
      </c>
      <c r="D400" s="35" t="s">
        <v>151</v>
      </c>
      <c r="E400" s="35" t="s">
        <v>769</v>
      </c>
      <c r="F400" s="57" t="s">
        <v>391</v>
      </c>
      <c r="G400" s="92">
        <f aca="true" t="shared" si="26" ref="G400:G405">H400+I400</f>
        <v>12213.829310000001</v>
      </c>
      <c r="H400" s="92"/>
      <c r="I400" s="92">
        <f>I401+I403</f>
        <v>12213.829310000001</v>
      </c>
      <c r="K400" s="82"/>
    </row>
    <row r="401" spans="1:9" ht="39" customHeight="1">
      <c r="A401" s="17" t="s">
        <v>180</v>
      </c>
      <c r="B401" s="21" t="s">
        <v>169</v>
      </c>
      <c r="C401" s="35" t="s">
        <v>213</v>
      </c>
      <c r="D401" s="35" t="s">
        <v>151</v>
      </c>
      <c r="E401" s="35" t="s">
        <v>769</v>
      </c>
      <c r="F401" s="35" t="s">
        <v>149</v>
      </c>
      <c r="G401" s="83">
        <f>I401</f>
        <v>150</v>
      </c>
      <c r="H401" s="83"/>
      <c r="I401" s="83">
        <f>I402</f>
        <v>150</v>
      </c>
    </row>
    <row r="402" spans="1:9" ht="42.75" customHeight="1">
      <c r="A402" s="44" t="s">
        <v>181</v>
      </c>
      <c r="B402" s="21" t="s">
        <v>169</v>
      </c>
      <c r="C402" s="35" t="s">
        <v>213</v>
      </c>
      <c r="D402" s="35" t="s">
        <v>151</v>
      </c>
      <c r="E402" s="35" t="s">
        <v>769</v>
      </c>
      <c r="F402" s="35" t="s">
        <v>182</v>
      </c>
      <c r="G402" s="83">
        <f>I402</f>
        <v>150</v>
      </c>
      <c r="H402" s="83"/>
      <c r="I402" s="83">
        <v>150</v>
      </c>
    </row>
    <row r="403" spans="1:10" ht="29.25" customHeight="1">
      <c r="A403" s="17" t="s">
        <v>194</v>
      </c>
      <c r="B403" s="21">
        <v>951</v>
      </c>
      <c r="C403" s="35" t="s">
        <v>213</v>
      </c>
      <c r="D403" s="35" t="s">
        <v>151</v>
      </c>
      <c r="E403" s="35" t="s">
        <v>769</v>
      </c>
      <c r="F403" s="35" t="s">
        <v>150</v>
      </c>
      <c r="G403" s="83">
        <f t="shared" si="26"/>
        <v>12063.829310000001</v>
      </c>
      <c r="H403" s="83"/>
      <c r="I403" s="83">
        <f>I404+I405</f>
        <v>12063.829310000001</v>
      </c>
      <c r="J403" s="298"/>
    </row>
    <row r="404" spans="1:10" ht="42" customHeight="1">
      <c r="A404" s="17" t="s">
        <v>195</v>
      </c>
      <c r="B404" s="21" t="s">
        <v>169</v>
      </c>
      <c r="C404" s="35" t="s">
        <v>213</v>
      </c>
      <c r="D404" s="35" t="s">
        <v>151</v>
      </c>
      <c r="E404" s="35" t="s">
        <v>769</v>
      </c>
      <c r="F404" s="35" t="s">
        <v>196</v>
      </c>
      <c r="G404" s="83">
        <f t="shared" si="26"/>
        <v>9943.42256</v>
      </c>
      <c r="H404" s="83"/>
      <c r="I404" s="83">
        <f>10049.63122+600-1788.71266+341.904+740.6</f>
        <v>9943.42256</v>
      </c>
      <c r="J404" s="82"/>
    </row>
    <row r="405" spans="1:9" ht="42" customHeight="1">
      <c r="A405" s="17" t="s">
        <v>197</v>
      </c>
      <c r="B405" s="21">
        <v>951</v>
      </c>
      <c r="C405" s="35" t="s">
        <v>213</v>
      </c>
      <c r="D405" s="35" t="s">
        <v>151</v>
      </c>
      <c r="E405" s="35" t="s">
        <v>769</v>
      </c>
      <c r="F405" s="35" t="s">
        <v>198</v>
      </c>
      <c r="G405" s="83">
        <f t="shared" si="26"/>
        <v>2120.40675</v>
      </c>
      <c r="H405" s="83"/>
      <c r="I405" s="83">
        <f>3600+400-1121.904-717.08925-40.6</f>
        <v>2120.40675</v>
      </c>
    </row>
    <row r="406" spans="1:11" ht="85.5" customHeight="1">
      <c r="A406" s="53" t="s">
        <v>647</v>
      </c>
      <c r="B406" s="21">
        <v>951</v>
      </c>
      <c r="C406" s="35" t="s">
        <v>213</v>
      </c>
      <c r="D406" s="35" t="s">
        <v>151</v>
      </c>
      <c r="E406" s="35" t="s">
        <v>770</v>
      </c>
      <c r="F406" s="57" t="s">
        <v>391</v>
      </c>
      <c r="G406" s="92">
        <f>H406+I406</f>
        <v>242.57751000000002</v>
      </c>
      <c r="H406" s="92"/>
      <c r="I406" s="92">
        <f>I407+I409</f>
        <v>242.57751000000002</v>
      </c>
      <c r="K406" s="82"/>
    </row>
    <row r="407" spans="1:9" ht="30.75" customHeight="1">
      <c r="A407" s="17" t="s">
        <v>180</v>
      </c>
      <c r="B407" s="21" t="s">
        <v>169</v>
      </c>
      <c r="C407" s="35" t="s">
        <v>213</v>
      </c>
      <c r="D407" s="35" t="s">
        <v>151</v>
      </c>
      <c r="E407" s="35" t="s">
        <v>770</v>
      </c>
      <c r="F407" s="35" t="s">
        <v>149</v>
      </c>
      <c r="G407" s="83">
        <f>I407</f>
        <v>5</v>
      </c>
      <c r="H407" s="83"/>
      <c r="I407" s="83">
        <f>I408</f>
        <v>5</v>
      </c>
    </row>
    <row r="408" spans="1:9" ht="42.75" customHeight="1">
      <c r="A408" s="44" t="s">
        <v>181</v>
      </c>
      <c r="B408" s="21" t="s">
        <v>169</v>
      </c>
      <c r="C408" s="35" t="s">
        <v>213</v>
      </c>
      <c r="D408" s="35" t="s">
        <v>151</v>
      </c>
      <c r="E408" s="35" t="s">
        <v>770</v>
      </c>
      <c r="F408" s="35" t="s">
        <v>182</v>
      </c>
      <c r="G408" s="83">
        <f>I408</f>
        <v>5</v>
      </c>
      <c r="H408" s="83"/>
      <c r="I408" s="83">
        <v>5</v>
      </c>
    </row>
    <row r="409" spans="1:9" ht="29.25" customHeight="1">
      <c r="A409" s="17" t="s">
        <v>194</v>
      </c>
      <c r="B409" s="21">
        <v>951</v>
      </c>
      <c r="C409" s="35" t="s">
        <v>213</v>
      </c>
      <c r="D409" s="35" t="s">
        <v>151</v>
      </c>
      <c r="E409" s="35" t="s">
        <v>770</v>
      </c>
      <c r="F409" s="35" t="s">
        <v>150</v>
      </c>
      <c r="G409" s="83">
        <f aca="true" t="shared" si="27" ref="G409:G417">H409+I409</f>
        <v>237.57751000000002</v>
      </c>
      <c r="H409" s="83"/>
      <c r="I409" s="83">
        <f>I410</f>
        <v>237.57751000000002</v>
      </c>
    </row>
    <row r="410" spans="1:9" ht="29.25" customHeight="1">
      <c r="A410" s="17" t="s">
        <v>195</v>
      </c>
      <c r="B410" s="21">
        <v>951</v>
      </c>
      <c r="C410" s="35" t="s">
        <v>213</v>
      </c>
      <c r="D410" s="35" t="s">
        <v>151</v>
      </c>
      <c r="E410" s="35" t="s">
        <v>770</v>
      </c>
      <c r="F410" s="35" t="s">
        <v>196</v>
      </c>
      <c r="G410" s="83">
        <f t="shared" si="27"/>
        <v>237.57751000000002</v>
      </c>
      <c r="H410" s="83"/>
      <c r="I410" s="83">
        <f>530.28251-5-287.705</f>
        <v>237.57751000000002</v>
      </c>
    </row>
    <row r="411" spans="1:9" ht="13.5">
      <c r="A411" s="77" t="s">
        <v>216</v>
      </c>
      <c r="B411" s="171">
        <v>951</v>
      </c>
      <c r="C411" s="78" t="s">
        <v>158</v>
      </c>
      <c r="D411" s="78" t="s">
        <v>141</v>
      </c>
      <c r="E411" s="78" t="s">
        <v>304</v>
      </c>
      <c r="F411" s="78" t="s">
        <v>391</v>
      </c>
      <c r="G411" s="121">
        <f t="shared" si="27"/>
        <v>963</v>
      </c>
      <c r="H411" s="91">
        <f>H412</f>
        <v>963</v>
      </c>
      <c r="I411" s="91">
        <f aca="true" t="shared" si="28" ref="H411:I415">I412</f>
        <v>0</v>
      </c>
    </row>
    <row r="412" spans="1:9" ht="13.5">
      <c r="A412" s="17" t="s">
        <v>327</v>
      </c>
      <c r="B412" s="21">
        <v>951</v>
      </c>
      <c r="C412" s="35" t="s">
        <v>158</v>
      </c>
      <c r="D412" s="35" t="s">
        <v>142</v>
      </c>
      <c r="E412" s="35" t="s">
        <v>304</v>
      </c>
      <c r="F412" s="35" t="s">
        <v>391</v>
      </c>
      <c r="G412" s="83">
        <f t="shared" si="27"/>
        <v>963</v>
      </c>
      <c r="H412" s="83">
        <f t="shared" si="28"/>
        <v>963</v>
      </c>
      <c r="I412" s="83">
        <f t="shared" si="28"/>
        <v>0</v>
      </c>
    </row>
    <row r="413" spans="1:9" ht="43.5" customHeight="1">
      <c r="A413" s="53" t="s">
        <v>458</v>
      </c>
      <c r="B413" s="72">
        <v>951</v>
      </c>
      <c r="C413" s="57" t="s">
        <v>158</v>
      </c>
      <c r="D413" s="57" t="s">
        <v>142</v>
      </c>
      <c r="E413" s="57" t="s">
        <v>86</v>
      </c>
      <c r="F413" s="57" t="s">
        <v>391</v>
      </c>
      <c r="G413" s="92">
        <f t="shared" si="27"/>
        <v>963</v>
      </c>
      <c r="H413" s="92">
        <f>H414+H417+H428+H431</f>
        <v>963</v>
      </c>
      <c r="I413" s="92">
        <f>I414+I417+I431</f>
        <v>0</v>
      </c>
    </row>
    <row r="414" spans="1:9" ht="30.75" customHeight="1">
      <c r="A414" s="17" t="s">
        <v>217</v>
      </c>
      <c r="B414" s="21">
        <v>951</v>
      </c>
      <c r="C414" s="35" t="s">
        <v>158</v>
      </c>
      <c r="D414" s="35" t="s">
        <v>142</v>
      </c>
      <c r="E414" s="35" t="s">
        <v>87</v>
      </c>
      <c r="F414" s="35" t="s">
        <v>391</v>
      </c>
      <c r="G414" s="83">
        <f t="shared" si="27"/>
        <v>742.86264</v>
      </c>
      <c r="H414" s="83">
        <f t="shared" si="28"/>
        <v>742.86264</v>
      </c>
      <c r="I414" s="83">
        <f t="shared" si="28"/>
        <v>0</v>
      </c>
    </row>
    <row r="415" spans="1:9" ht="30" customHeight="1">
      <c r="A415" s="17" t="s">
        <v>180</v>
      </c>
      <c r="B415" s="21">
        <v>951</v>
      </c>
      <c r="C415" s="35" t="s">
        <v>158</v>
      </c>
      <c r="D415" s="35" t="s">
        <v>142</v>
      </c>
      <c r="E415" s="35" t="s">
        <v>87</v>
      </c>
      <c r="F415" s="35" t="s">
        <v>149</v>
      </c>
      <c r="G415" s="83">
        <f t="shared" si="27"/>
        <v>742.86264</v>
      </c>
      <c r="H415" s="83">
        <f t="shared" si="28"/>
        <v>742.86264</v>
      </c>
      <c r="I415" s="83">
        <f t="shared" si="28"/>
        <v>0</v>
      </c>
    </row>
    <row r="416" spans="1:9" ht="41.25">
      <c r="A416" s="44" t="s">
        <v>181</v>
      </c>
      <c r="B416" s="21">
        <v>951</v>
      </c>
      <c r="C416" s="35" t="s">
        <v>158</v>
      </c>
      <c r="D416" s="35" t="s">
        <v>142</v>
      </c>
      <c r="E416" s="35" t="s">
        <v>87</v>
      </c>
      <c r="F416" s="35" t="s">
        <v>182</v>
      </c>
      <c r="G416" s="83">
        <f t="shared" si="27"/>
        <v>742.86264</v>
      </c>
      <c r="H416" s="83">
        <f>150+156.8+130+145.22+26.98+133.86264</f>
        <v>742.86264</v>
      </c>
      <c r="I416" s="83"/>
    </row>
    <row r="417" spans="1:9" ht="41.25" hidden="1">
      <c r="A417" s="80" t="s">
        <v>576</v>
      </c>
      <c r="B417" s="21">
        <v>951</v>
      </c>
      <c r="C417" s="78" t="s">
        <v>158</v>
      </c>
      <c r="D417" s="78" t="s">
        <v>142</v>
      </c>
      <c r="E417" s="78" t="s">
        <v>86</v>
      </c>
      <c r="F417" s="78" t="s">
        <v>391</v>
      </c>
      <c r="G417" s="91">
        <f t="shared" si="27"/>
        <v>0</v>
      </c>
      <c r="H417" s="91">
        <f>H423</f>
        <v>0</v>
      </c>
      <c r="I417" s="91">
        <f>I418</f>
        <v>0</v>
      </c>
    </row>
    <row r="418" spans="1:9" ht="69.75" hidden="1">
      <c r="A418" s="54" t="s">
        <v>595</v>
      </c>
      <c r="B418" s="21">
        <v>951</v>
      </c>
      <c r="C418" s="57" t="s">
        <v>158</v>
      </c>
      <c r="D418" s="57" t="s">
        <v>142</v>
      </c>
      <c r="E418" s="57" t="s">
        <v>577</v>
      </c>
      <c r="F418" s="57" t="s">
        <v>391</v>
      </c>
      <c r="G418" s="92">
        <f>I418</f>
        <v>0</v>
      </c>
      <c r="H418" s="92"/>
      <c r="I418" s="92">
        <f>I419+I421</f>
        <v>0</v>
      </c>
    </row>
    <row r="419" spans="1:9" ht="41.25" hidden="1">
      <c r="A419" s="44" t="s">
        <v>572</v>
      </c>
      <c r="B419" s="21">
        <v>951</v>
      </c>
      <c r="C419" s="35" t="s">
        <v>158</v>
      </c>
      <c r="D419" s="35" t="s">
        <v>142</v>
      </c>
      <c r="E419" s="35" t="s">
        <v>577</v>
      </c>
      <c r="F419" s="35" t="s">
        <v>573</v>
      </c>
      <c r="G419" s="83">
        <f>I419</f>
        <v>0</v>
      </c>
      <c r="H419" s="83"/>
      <c r="I419" s="83">
        <f>I420</f>
        <v>0</v>
      </c>
    </row>
    <row r="420" spans="1:9" ht="13.5" hidden="1">
      <c r="A420" s="44" t="s">
        <v>574</v>
      </c>
      <c r="B420" s="21">
        <v>951</v>
      </c>
      <c r="C420" s="35" t="s">
        <v>158</v>
      </c>
      <c r="D420" s="35" t="s">
        <v>142</v>
      </c>
      <c r="E420" s="35" t="s">
        <v>577</v>
      </c>
      <c r="F420" s="35" t="s">
        <v>575</v>
      </c>
      <c r="G420" s="83">
        <f>I420</f>
        <v>0</v>
      </c>
      <c r="H420" s="83"/>
      <c r="I420" s="83">
        <v>0</v>
      </c>
    </row>
    <row r="421" spans="1:9" ht="41.25" hidden="1">
      <c r="A421" s="17" t="s">
        <v>578</v>
      </c>
      <c r="B421" s="21">
        <v>952</v>
      </c>
      <c r="C421" s="35" t="s">
        <v>158</v>
      </c>
      <c r="D421" s="35" t="s">
        <v>142</v>
      </c>
      <c r="E421" s="35" t="s">
        <v>577</v>
      </c>
      <c r="F421" s="35" t="s">
        <v>204</v>
      </c>
      <c r="G421" s="83">
        <f>I421</f>
        <v>0</v>
      </c>
      <c r="H421" s="83"/>
      <c r="I421" s="83">
        <f>I422</f>
        <v>0</v>
      </c>
    </row>
    <row r="422" spans="1:9" ht="15.75" customHeight="1" hidden="1">
      <c r="A422" s="17" t="s">
        <v>168</v>
      </c>
      <c r="B422" s="21">
        <v>953</v>
      </c>
      <c r="C422" s="35" t="s">
        <v>158</v>
      </c>
      <c r="D422" s="35" t="s">
        <v>142</v>
      </c>
      <c r="E422" s="35" t="s">
        <v>577</v>
      </c>
      <c r="F422" s="35" t="s">
        <v>271</v>
      </c>
      <c r="G422" s="83">
        <f>I422</f>
        <v>0</v>
      </c>
      <c r="H422" s="83"/>
      <c r="I422" s="83">
        <v>0</v>
      </c>
    </row>
    <row r="423" spans="1:9" ht="87" customHeight="1" hidden="1">
      <c r="A423" s="54" t="s">
        <v>596</v>
      </c>
      <c r="B423" s="21">
        <v>951</v>
      </c>
      <c r="C423" s="57" t="s">
        <v>158</v>
      </c>
      <c r="D423" s="57" t="s">
        <v>142</v>
      </c>
      <c r="E423" s="57" t="s">
        <v>579</v>
      </c>
      <c r="F423" s="57" t="s">
        <v>391</v>
      </c>
      <c r="G423" s="92">
        <f>H423</f>
        <v>0</v>
      </c>
      <c r="H423" s="92">
        <f>H424+H426</f>
        <v>0</v>
      </c>
      <c r="I423" s="92"/>
    </row>
    <row r="424" spans="1:9" ht="41.25" hidden="1">
      <c r="A424" s="44" t="s">
        <v>572</v>
      </c>
      <c r="B424" s="21">
        <v>951</v>
      </c>
      <c r="C424" s="35" t="s">
        <v>158</v>
      </c>
      <c r="D424" s="35" t="s">
        <v>142</v>
      </c>
      <c r="E424" s="35" t="s">
        <v>579</v>
      </c>
      <c r="F424" s="35" t="s">
        <v>573</v>
      </c>
      <c r="G424" s="83">
        <f>H424</f>
        <v>0</v>
      </c>
      <c r="H424" s="83">
        <f>H425</f>
        <v>0</v>
      </c>
      <c r="I424" s="83"/>
    </row>
    <row r="425" spans="1:9" ht="13.5" hidden="1">
      <c r="A425" s="44" t="s">
        <v>574</v>
      </c>
      <c r="B425" s="21">
        <v>951</v>
      </c>
      <c r="C425" s="35" t="s">
        <v>158</v>
      </c>
      <c r="D425" s="35" t="s">
        <v>142</v>
      </c>
      <c r="E425" s="35" t="s">
        <v>579</v>
      </c>
      <c r="F425" s="35" t="s">
        <v>575</v>
      </c>
      <c r="G425" s="83">
        <f>H425</f>
        <v>0</v>
      </c>
      <c r="H425" s="83">
        <f>43+43+40-40-86</f>
        <v>0</v>
      </c>
      <c r="I425" s="83"/>
    </row>
    <row r="426" spans="1:9" ht="42" customHeight="1" hidden="1">
      <c r="A426" s="17" t="s">
        <v>578</v>
      </c>
      <c r="B426" s="21">
        <v>952</v>
      </c>
      <c r="C426" s="35" t="s">
        <v>158</v>
      </c>
      <c r="D426" s="35" t="s">
        <v>142</v>
      </c>
      <c r="E426" s="35" t="s">
        <v>579</v>
      </c>
      <c r="F426" s="35" t="s">
        <v>204</v>
      </c>
      <c r="G426" s="83">
        <f>H426</f>
        <v>0</v>
      </c>
      <c r="H426" s="83">
        <f>H427</f>
        <v>0</v>
      </c>
      <c r="I426" s="83"/>
    </row>
    <row r="427" spans="1:9" ht="15" customHeight="1" hidden="1">
      <c r="A427" s="17" t="s">
        <v>168</v>
      </c>
      <c r="B427" s="21">
        <v>953</v>
      </c>
      <c r="C427" s="35" t="s">
        <v>158</v>
      </c>
      <c r="D427" s="35" t="s">
        <v>142</v>
      </c>
      <c r="E427" s="35" t="s">
        <v>579</v>
      </c>
      <c r="F427" s="35" t="s">
        <v>271</v>
      </c>
      <c r="G427" s="83">
        <f>H427</f>
        <v>0</v>
      </c>
      <c r="H427" s="83">
        <v>0</v>
      </c>
      <c r="I427" s="83"/>
    </row>
    <row r="428" spans="1:9" ht="45" customHeight="1">
      <c r="A428" s="53" t="s">
        <v>727</v>
      </c>
      <c r="B428" s="72">
        <v>951</v>
      </c>
      <c r="C428" s="57" t="s">
        <v>158</v>
      </c>
      <c r="D428" s="57" t="s">
        <v>142</v>
      </c>
      <c r="E428" s="57" t="s">
        <v>723</v>
      </c>
      <c r="F428" s="57" t="s">
        <v>391</v>
      </c>
      <c r="G428" s="92">
        <f>H428+I428</f>
        <v>220.13736</v>
      </c>
      <c r="H428" s="92">
        <f>H429+H438</f>
        <v>220.13736</v>
      </c>
      <c r="I428" s="83"/>
    </row>
    <row r="429" spans="1:9" ht="30" customHeight="1">
      <c r="A429" s="17" t="s">
        <v>180</v>
      </c>
      <c r="B429" s="21">
        <v>951</v>
      </c>
      <c r="C429" s="35" t="s">
        <v>158</v>
      </c>
      <c r="D429" s="35" t="s">
        <v>142</v>
      </c>
      <c r="E429" s="35" t="s">
        <v>723</v>
      </c>
      <c r="F429" s="35" t="s">
        <v>149</v>
      </c>
      <c r="G429" s="83">
        <f>H429+I429</f>
        <v>7</v>
      </c>
      <c r="H429" s="83">
        <f>H430</f>
        <v>7</v>
      </c>
      <c r="I429" s="83"/>
    </row>
    <row r="430" spans="1:9" ht="42" customHeight="1">
      <c r="A430" s="44" t="s">
        <v>181</v>
      </c>
      <c r="B430" s="21">
        <v>951</v>
      </c>
      <c r="C430" s="35" t="s">
        <v>158</v>
      </c>
      <c r="D430" s="35" t="s">
        <v>142</v>
      </c>
      <c r="E430" s="35" t="s">
        <v>723</v>
      </c>
      <c r="F430" s="35" t="s">
        <v>182</v>
      </c>
      <c r="G430" s="83">
        <f>H430+I430</f>
        <v>7</v>
      </c>
      <c r="H430" s="83">
        <v>7</v>
      </c>
      <c r="I430" s="83"/>
    </row>
    <row r="431" spans="1:9" ht="56.25" customHeight="1" hidden="1">
      <c r="A431" s="77" t="s">
        <v>728</v>
      </c>
      <c r="B431" s="21">
        <v>952</v>
      </c>
      <c r="C431" s="35" t="s">
        <v>158</v>
      </c>
      <c r="D431" s="35" t="s">
        <v>142</v>
      </c>
      <c r="E431" s="35" t="s">
        <v>883</v>
      </c>
      <c r="F431" s="78" t="s">
        <v>391</v>
      </c>
      <c r="G431" s="83">
        <f aca="true" t="shared" si="29" ref="G431:G439">H431+I431</f>
        <v>0</v>
      </c>
      <c r="H431" s="91">
        <f>H435</f>
        <v>0</v>
      </c>
      <c r="I431" s="91">
        <f>I432</f>
        <v>0</v>
      </c>
    </row>
    <row r="432" spans="1:9" ht="81.75" customHeight="1" hidden="1">
      <c r="A432" s="54" t="s">
        <v>734</v>
      </c>
      <c r="B432" s="21">
        <v>953</v>
      </c>
      <c r="C432" s="35" t="s">
        <v>158</v>
      </c>
      <c r="D432" s="35" t="s">
        <v>142</v>
      </c>
      <c r="E432" s="35" t="s">
        <v>884</v>
      </c>
      <c r="F432" s="57" t="s">
        <v>391</v>
      </c>
      <c r="G432" s="83">
        <f t="shared" si="29"/>
        <v>0</v>
      </c>
      <c r="H432" s="92"/>
      <c r="I432" s="92">
        <f>I433</f>
        <v>0</v>
      </c>
    </row>
    <row r="433" spans="1:9" ht="27.75" customHeight="1" hidden="1">
      <c r="A433" s="17" t="s">
        <v>180</v>
      </c>
      <c r="B433" s="21">
        <v>954</v>
      </c>
      <c r="C433" s="35" t="s">
        <v>158</v>
      </c>
      <c r="D433" s="35" t="s">
        <v>142</v>
      </c>
      <c r="E433" s="35" t="s">
        <v>885</v>
      </c>
      <c r="F433" s="35" t="s">
        <v>149</v>
      </c>
      <c r="G433" s="83">
        <f t="shared" si="29"/>
        <v>0</v>
      </c>
      <c r="H433" s="83"/>
      <c r="I433" s="83">
        <f>I434</f>
        <v>0</v>
      </c>
    </row>
    <row r="434" spans="1:9" ht="41.25" customHeight="1" hidden="1">
      <c r="A434" s="44" t="s">
        <v>181</v>
      </c>
      <c r="B434" s="21">
        <v>955</v>
      </c>
      <c r="C434" s="35" t="s">
        <v>158</v>
      </c>
      <c r="D434" s="35" t="s">
        <v>142</v>
      </c>
      <c r="E434" s="35" t="s">
        <v>886</v>
      </c>
      <c r="F434" s="35" t="s">
        <v>182</v>
      </c>
      <c r="G434" s="83">
        <f t="shared" si="29"/>
        <v>0</v>
      </c>
      <c r="H434" s="83"/>
      <c r="I434" s="83">
        <v>0</v>
      </c>
    </row>
    <row r="435" spans="1:9" ht="82.5" customHeight="1" hidden="1">
      <c r="A435" s="53" t="s">
        <v>731</v>
      </c>
      <c r="B435" s="21">
        <v>956</v>
      </c>
      <c r="C435" s="35" t="s">
        <v>158</v>
      </c>
      <c r="D435" s="35" t="s">
        <v>142</v>
      </c>
      <c r="E435" s="35" t="s">
        <v>887</v>
      </c>
      <c r="F435" s="57" t="s">
        <v>391</v>
      </c>
      <c r="G435" s="83">
        <f t="shared" si="29"/>
        <v>0</v>
      </c>
      <c r="H435" s="92">
        <f>H436</f>
        <v>0</v>
      </c>
      <c r="I435" s="92"/>
    </row>
    <row r="436" spans="1:9" ht="30" customHeight="1" hidden="1">
      <c r="A436" s="17" t="s">
        <v>180</v>
      </c>
      <c r="B436" s="21">
        <v>957</v>
      </c>
      <c r="C436" s="35" t="s">
        <v>158</v>
      </c>
      <c r="D436" s="35" t="s">
        <v>142</v>
      </c>
      <c r="E436" s="35" t="s">
        <v>888</v>
      </c>
      <c r="F436" s="35" t="s">
        <v>149</v>
      </c>
      <c r="G436" s="83">
        <f t="shared" si="29"/>
        <v>0</v>
      </c>
      <c r="H436" s="83">
        <f>H437</f>
        <v>0</v>
      </c>
      <c r="I436" s="83"/>
    </row>
    <row r="437" spans="1:9" ht="40.5" customHeight="1" hidden="1">
      <c r="A437" s="44" t="s">
        <v>181</v>
      </c>
      <c r="B437" s="21">
        <v>958</v>
      </c>
      <c r="C437" s="35" t="s">
        <v>158</v>
      </c>
      <c r="D437" s="35" t="s">
        <v>142</v>
      </c>
      <c r="E437" s="35" t="s">
        <v>889</v>
      </c>
      <c r="F437" s="35" t="s">
        <v>182</v>
      </c>
      <c r="G437" s="83">
        <f t="shared" si="29"/>
        <v>0</v>
      </c>
      <c r="H437" s="83">
        <v>0</v>
      </c>
      <c r="I437" s="83"/>
    </row>
    <row r="438" spans="1:9" ht="40.5" customHeight="1">
      <c r="A438" s="44" t="s">
        <v>572</v>
      </c>
      <c r="B438" s="21" t="s">
        <v>169</v>
      </c>
      <c r="C438" s="35" t="s">
        <v>158</v>
      </c>
      <c r="D438" s="35" t="s">
        <v>142</v>
      </c>
      <c r="E438" s="35" t="s">
        <v>723</v>
      </c>
      <c r="F438" s="35" t="s">
        <v>573</v>
      </c>
      <c r="G438" s="83">
        <f t="shared" si="29"/>
        <v>213.13736</v>
      </c>
      <c r="H438" s="83">
        <f>H439</f>
        <v>213.13736</v>
      </c>
      <c r="I438" s="83"/>
    </row>
    <row r="439" spans="1:9" ht="15" customHeight="1">
      <c r="A439" s="44" t="s">
        <v>574</v>
      </c>
      <c r="B439" s="21" t="s">
        <v>169</v>
      </c>
      <c r="C439" s="35" t="s">
        <v>158</v>
      </c>
      <c r="D439" s="35" t="s">
        <v>142</v>
      </c>
      <c r="E439" s="35" t="s">
        <v>723</v>
      </c>
      <c r="F439" s="35" t="s">
        <v>575</v>
      </c>
      <c r="G439" s="83">
        <f t="shared" si="29"/>
        <v>213.13736</v>
      </c>
      <c r="H439" s="83">
        <v>213.13736</v>
      </c>
      <c r="I439" s="83"/>
    </row>
    <row r="440" spans="1:9" ht="45.75" customHeight="1">
      <c r="A440" s="77" t="s">
        <v>218</v>
      </c>
      <c r="B440" s="171">
        <v>951</v>
      </c>
      <c r="C440" s="78" t="s">
        <v>160</v>
      </c>
      <c r="D440" s="78" t="s">
        <v>141</v>
      </c>
      <c r="E440" s="78" t="s">
        <v>304</v>
      </c>
      <c r="F440" s="78" t="s">
        <v>391</v>
      </c>
      <c r="G440" s="121">
        <f aca="true" t="shared" si="30" ref="G440:G479">H440+I440</f>
        <v>250.44800000000004</v>
      </c>
      <c r="H440" s="91">
        <f aca="true" t="shared" si="31" ref="H440:I444">H441</f>
        <v>250.44800000000004</v>
      </c>
      <c r="I440" s="91">
        <f t="shared" si="31"/>
        <v>0</v>
      </c>
    </row>
    <row r="441" spans="1:9" ht="69">
      <c r="A441" s="53" t="s">
        <v>524</v>
      </c>
      <c r="B441" s="75">
        <v>951</v>
      </c>
      <c r="C441" s="35" t="s">
        <v>160</v>
      </c>
      <c r="D441" s="35" t="s">
        <v>140</v>
      </c>
      <c r="E441" s="35" t="s">
        <v>304</v>
      </c>
      <c r="F441" s="35" t="s">
        <v>391</v>
      </c>
      <c r="G441" s="83">
        <f t="shared" si="30"/>
        <v>250.44800000000004</v>
      </c>
      <c r="H441" s="108">
        <f t="shared" si="31"/>
        <v>250.44800000000004</v>
      </c>
      <c r="I441" s="108">
        <f t="shared" si="31"/>
        <v>0</v>
      </c>
    </row>
    <row r="442" spans="1:9" ht="27">
      <c r="A442" s="17" t="s">
        <v>338</v>
      </c>
      <c r="B442" s="75">
        <v>951</v>
      </c>
      <c r="C442" s="35" t="s">
        <v>160</v>
      </c>
      <c r="D442" s="35" t="s">
        <v>140</v>
      </c>
      <c r="E442" s="35" t="s">
        <v>502</v>
      </c>
      <c r="F442" s="35" t="s">
        <v>391</v>
      </c>
      <c r="G442" s="83">
        <f t="shared" si="30"/>
        <v>250.44800000000004</v>
      </c>
      <c r="H442" s="108">
        <f t="shared" si="31"/>
        <v>250.44800000000004</v>
      </c>
      <c r="I442" s="108">
        <f t="shared" si="31"/>
        <v>0</v>
      </c>
    </row>
    <row r="443" spans="1:9" ht="13.5">
      <c r="A443" s="17" t="s">
        <v>219</v>
      </c>
      <c r="B443" s="75">
        <v>951</v>
      </c>
      <c r="C443" s="35" t="s">
        <v>160</v>
      </c>
      <c r="D443" s="35" t="s">
        <v>140</v>
      </c>
      <c r="E443" s="35" t="s">
        <v>502</v>
      </c>
      <c r="F443" s="35" t="s">
        <v>391</v>
      </c>
      <c r="G443" s="83">
        <f t="shared" si="30"/>
        <v>250.44800000000004</v>
      </c>
      <c r="H443" s="108">
        <f t="shared" si="31"/>
        <v>250.44800000000004</v>
      </c>
      <c r="I443" s="108">
        <f t="shared" si="31"/>
        <v>0</v>
      </c>
    </row>
    <row r="444" spans="1:9" ht="27">
      <c r="A444" s="17" t="s">
        <v>199</v>
      </c>
      <c r="B444" s="75">
        <v>951</v>
      </c>
      <c r="C444" s="35" t="s">
        <v>160</v>
      </c>
      <c r="D444" s="35" t="s">
        <v>140</v>
      </c>
      <c r="E444" s="35" t="s">
        <v>502</v>
      </c>
      <c r="F444" s="35" t="s">
        <v>200</v>
      </c>
      <c r="G444" s="83">
        <f t="shared" si="30"/>
        <v>250.44800000000004</v>
      </c>
      <c r="H444" s="108">
        <f t="shared" si="31"/>
        <v>250.44800000000004</v>
      </c>
      <c r="I444" s="108">
        <f t="shared" si="31"/>
        <v>0</v>
      </c>
    </row>
    <row r="445" spans="1:9" ht="13.5">
      <c r="A445" s="17" t="s">
        <v>220</v>
      </c>
      <c r="B445" s="75">
        <v>951</v>
      </c>
      <c r="C445" s="35" t="s">
        <v>160</v>
      </c>
      <c r="D445" s="35" t="s">
        <v>140</v>
      </c>
      <c r="E445" s="35" t="s">
        <v>502</v>
      </c>
      <c r="F445" s="35" t="s">
        <v>315</v>
      </c>
      <c r="G445" s="83">
        <f t="shared" si="30"/>
        <v>250.44800000000004</v>
      </c>
      <c r="H445" s="108">
        <f>1090-288.27-490.282-61</f>
        <v>250.44800000000004</v>
      </c>
      <c r="I445" s="108"/>
    </row>
    <row r="446" spans="1:11" ht="30" customHeight="1">
      <c r="A446" s="245" t="s">
        <v>379</v>
      </c>
      <c r="B446" s="171" t="s">
        <v>392</v>
      </c>
      <c r="C446" s="171" t="s">
        <v>141</v>
      </c>
      <c r="D446" s="171" t="s">
        <v>141</v>
      </c>
      <c r="E446" s="171" t="s">
        <v>304</v>
      </c>
      <c r="F446" s="171" t="s">
        <v>391</v>
      </c>
      <c r="G446" s="91">
        <f t="shared" si="30"/>
        <v>3647.8</v>
      </c>
      <c r="H446" s="121">
        <f>H447</f>
        <v>3647.8</v>
      </c>
      <c r="I446" s="121">
        <f aca="true" t="shared" si="32" ref="H446:I448">I447</f>
        <v>0</v>
      </c>
      <c r="K446" s="82"/>
    </row>
    <row r="447" spans="1:9" ht="54.75">
      <c r="A447" s="17" t="s">
        <v>146</v>
      </c>
      <c r="B447" s="75" t="s">
        <v>392</v>
      </c>
      <c r="C447" s="35" t="s">
        <v>140</v>
      </c>
      <c r="D447" s="35" t="s">
        <v>147</v>
      </c>
      <c r="E447" s="35" t="s">
        <v>304</v>
      </c>
      <c r="F447" s="35" t="s">
        <v>391</v>
      </c>
      <c r="G447" s="83">
        <f t="shared" si="30"/>
        <v>3647.8</v>
      </c>
      <c r="H447" s="83">
        <f t="shared" si="32"/>
        <v>3647.8</v>
      </c>
      <c r="I447" s="83">
        <f t="shared" si="32"/>
        <v>0</v>
      </c>
    </row>
    <row r="448" spans="1:9" ht="27">
      <c r="A448" s="17" t="s">
        <v>143</v>
      </c>
      <c r="B448" s="75" t="s">
        <v>392</v>
      </c>
      <c r="C448" s="35" t="s">
        <v>140</v>
      </c>
      <c r="D448" s="35" t="s">
        <v>147</v>
      </c>
      <c r="E448" s="35" t="s">
        <v>8</v>
      </c>
      <c r="F448" s="35" t="s">
        <v>391</v>
      </c>
      <c r="G448" s="83">
        <f t="shared" si="30"/>
        <v>3647.8</v>
      </c>
      <c r="H448" s="108">
        <f t="shared" si="32"/>
        <v>3647.8</v>
      </c>
      <c r="I448" s="108">
        <f t="shared" si="32"/>
        <v>0</v>
      </c>
    </row>
    <row r="449" spans="1:9" ht="41.25">
      <c r="A449" s="17" t="s">
        <v>144</v>
      </c>
      <c r="B449" s="75" t="s">
        <v>392</v>
      </c>
      <c r="C449" s="35" t="s">
        <v>140</v>
      </c>
      <c r="D449" s="35" t="s">
        <v>147</v>
      </c>
      <c r="E449" s="35" t="s">
        <v>9</v>
      </c>
      <c r="F449" s="35" t="s">
        <v>391</v>
      </c>
      <c r="G449" s="83">
        <f t="shared" si="30"/>
        <v>3647.8</v>
      </c>
      <c r="H449" s="108">
        <f>H455+H450</f>
        <v>3647.8</v>
      </c>
      <c r="I449" s="108">
        <f>I455</f>
        <v>0</v>
      </c>
    </row>
    <row r="450" spans="1:9" ht="27">
      <c r="A450" s="17" t="s">
        <v>172</v>
      </c>
      <c r="B450" s="75" t="s">
        <v>392</v>
      </c>
      <c r="C450" s="35" t="s">
        <v>140</v>
      </c>
      <c r="D450" s="35" t="s">
        <v>147</v>
      </c>
      <c r="E450" s="35" t="s">
        <v>11</v>
      </c>
      <c r="F450" s="35" t="s">
        <v>391</v>
      </c>
      <c r="G450" s="83">
        <f t="shared" si="30"/>
        <v>1667</v>
      </c>
      <c r="H450" s="108">
        <f>H451+H453</f>
        <v>1667</v>
      </c>
      <c r="I450" s="108">
        <f>I451+I453</f>
        <v>0</v>
      </c>
    </row>
    <row r="451" spans="1:9" ht="87" customHeight="1">
      <c r="A451" s="17" t="s">
        <v>177</v>
      </c>
      <c r="B451" s="75" t="s">
        <v>392</v>
      </c>
      <c r="C451" s="35" t="s">
        <v>140</v>
      </c>
      <c r="D451" s="35" t="s">
        <v>147</v>
      </c>
      <c r="E451" s="35" t="s">
        <v>11</v>
      </c>
      <c r="F451" s="35" t="s">
        <v>145</v>
      </c>
      <c r="G451" s="83">
        <f t="shared" si="30"/>
        <v>1667</v>
      </c>
      <c r="H451" s="108">
        <f>H452</f>
        <v>1667</v>
      </c>
      <c r="I451" s="108">
        <v>0</v>
      </c>
    </row>
    <row r="452" spans="1:9" ht="33" customHeight="1">
      <c r="A452" s="17" t="s">
        <v>179</v>
      </c>
      <c r="B452" s="75" t="s">
        <v>392</v>
      </c>
      <c r="C452" s="35" t="s">
        <v>140</v>
      </c>
      <c r="D452" s="35" t="s">
        <v>147</v>
      </c>
      <c r="E452" s="35" t="s">
        <v>11</v>
      </c>
      <c r="F452" s="35" t="s">
        <v>178</v>
      </c>
      <c r="G452" s="83">
        <f t="shared" si="30"/>
        <v>1667</v>
      </c>
      <c r="H452" s="108">
        <f>1668+10-3.6-7.4</f>
        <v>1667</v>
      </c>
      <c r="I452" s="108">
        <v>0</v>
      </c>
    </row>
    <row r="453" spans="1:9" ht="33" customHeight="1" hidden="1">
      <c r="A453" s="17" t="s">
        <v>180</v>
      </c>
      <c r="B453" s="75" t="s">
        <v>392</v>
      </c>
      <c r="C453" s="35" t="s">
        <v>140</v>
      </c>
      <c r="D453" s="35" t="s">
        <v>147</v>
      </c>
      <c r="E453" s="35" t="s">
        <v>11</v>
      </c>
      <c r="F453" s="35" t="s">
        <v>149</v>
      </c>
      <c r="G453" s="83">
        <f t="shared" si="30"/>
        <v>0</v>
      </c>
      <c r="H453" s="108">
        <f>H454</f>
        <v>0</v>
      </c>
      <c r="I453" s="108">
        <f>I454</f>
        <v>0</v>
      </c>
    </row>
    <row r="454" spans="1:9" ht="48" customHeight="1" hidden="1">
      <c r="A454" s="17" t="s">
        <v>181</v>
      </c>
      <c r="B454" s="75" t="s">
        <v>392</v>
      </c>
      <c r="C454" s="35" t="s">
        <v>140</v>
      </c>
      <c r="D454" s="35" t="s">
        <v>147</v>
      </c>
      <c r="E454" s="35" t="s">
        <v>11</v>
      </c>
      <c r="F454" s="35" t="s">
        <v>182</v>
      </c>
      <c r="G454" s="83">
        <f t="shared" si="30"/>
        <v>0</v>
      </c>
      <c r="H454" s="108">
        <f>15-15</f>
        <v>0</v>
      </c>
      <c r="I454" s="108"/>
    </row>
    <row r="455" spans="1:11" ht="45" customHeight="1">
      <c r="A455" s="17" t="s">
        <v>148</v>
      </c>
      <c r="B455" s="75" t="s">
        <v>392</v>
      </c>
      <c r="C455" s="35" t="s">
        <v>140</v>
      </c>
      <c r="D455" s="35" t="s">
        <v>147</v>
      </c>
      <c r="E455" s="35" t="s">
        <v>12</v>
      </c>
      <c r="F455" s="35" t="s">
        <v>391</v>
      </c>
      <c r="G455" s="83">
        <f t="shared" si="30"/>
        <v>1980.8000000000002</v>
      </c>
      <c r="H455" s="108">
        <f>H456+H458+H460</f>
        <v>1980.8000000000002</v>
      </c>
      <c r="I455" s="108">
        <f>I456+I458</f>
        <v>0</v>
      </c>
      <c r="K455" s="82"/>
    </row>
    <row r="456" spans="1:9" ht="75" customHeight="1">
      <c r="A456" s="17" t="s">
        <v>177</v>
      </c>
      <c r="B456" s="75" t="s">
        <v>392</v>
      </c>
      <c r="C456" s="35" t="s">
        <v>140</v>
      </c>
      <c r="D456" s="35" t="s">
        <v>147</v>
      </c>
      <c r="E456" s="35" t="s">
        <v>12</v>
      </c>
      <c r="F456" s="35" t="s">
        <v>145</v>
      </c>
      <c r="G456" s="83">
        <f t="shared" si="30"/>
        <v>1159.987</v>
      </c>
      <c r="H456" s="108">
        <f>H457</f>
        <v>1159.987</v>
      </c>
      <c r="I456" s="108">
        <f>I457</f>
        <v>0</v>
      </c>
    </row>
    <row r="457" spans="1:9" ht="31.5" customHeight="1">
      <c r="A457" s="17" t="s">
        <v>179</v>
      </c>
      <c r="B457" s="75" t="s">
        <v>392</v>
      </c>
      <c r="C457" s="35" t="s">
        <v>140</v>
      </c>
      <c r="D457" s="35" t="s">
        <v>147</v>
      </c>
      <c r="E457" s="35" t="s">
        <v>12</v>
      </c>
      <c r="F457" s="35" t="s">
        <v>178</v>
      </c>
      <c r="G457" s="83">
        <f t="shared" si="30"/>
        <v>1159.987</v>
      </c>
      <c r="H457" s="83">
        <f>1820.9-197.166-238.432-64.615-90-15-30-8.9-16.8</f>
        <v>1159.987</v>
      </c>
      <c r="I457" s="108"/>
    </row>
    <row r="458" spans="1:9" ht="27">
      <c r="A458" s="17" t="s">
        <v>180</v>
      </c>
      <c r="B458" s="75" t="s">
        <v>392</v>
      </c>
      <c r="C458" s="35" t="s">
        <v>140</v>
      </c>
      <c r="D458" s="35" t="s">
        <v>147</v>
      </c>
      <c r="E458" s="35" t="s">
        <v>12</v>
      </c>
      <c r="F458" s="35" t="s">
        <v>149</v>
      </c>
      <c r="G458" s="83">
        <f t="shared" si="30"/>
        <v>820.8130000000001</v>
      </c>
      <c r="H458" s="83">
        <f>H459</f>
        <v>820.8130000000001</v>
      </c>
      <c r="I458" s="108">
        <f>I459</f>
        <v>0</v>
      </c>
    </row>
    <row r="459" spans="1:9" ht="41.25">
      <c r="A459" s="17" t="s">
        <v>181</v>
      </c>
      <c r="B459" s="75" t="s">
        <v>392</v>
      </c>
      <c r="C459" s="35" t="s">
        <v>140</v>
      </c>
      <c r="D459" s="35" t="s">
        <v>147</v>
      </c>
      <c r="E459" s="35" t="s">
        <v>12</v>
      </c>
      <c r="F459" s="35" t="s">
        <v>182</v>
      </c>
      <c r="G459" s="83">
        <f t="shared" si="30"/>
        <v>820.8130000000001</v>
      </c>
      <c r="H459" s="83">
        <f>2164.8-5-1820.9+197.166+45.756+257.291-10-77+21+6+41.7</f>
        <v>820.8130000000001</v>
      </c>
      <c r="I459" s="108"/>
    </row>
    <row r="460" spans="1:9" ht="13.5" hidden="1">
      <c r="A460" s="17" t="s">
        <v>185</v>
      </c>
      <c r="B460" s="21" t="s">
        <v>392</v>
      </c>
      <c r="C460" s="35" t="s">
        <v>140</v>
      </c>
      <c r="D460" s="35" t="s">
        <v>147</v>
      </c>
      <c r="E460" s="35" t="s">
        <v>12</v>
      </c>
      <c r="F460" s="35" t="s">
        <v>186</v>
      </c>
      <c r="G460" s="83">
        <f t="shared" si="30"/>
        <v>0</v>
      </c>
      <c r="H460" s="83">
        <f>H461</f>
        <v>0</v>
      </c>
      <c r="I460" s="108"/>
    </row>
    <row r="461" spans="1:9" ht="13.5" hidden="1">
      <c r="A461" s="17" t="s">
        <v>183</v>
      </c>
      <c r="B461" s="21" t="s">
        <v>392</v>
      </c>
      <c r="C461" s="35" t="s">
        <v>140</v>
      </c>
      <c r="D461" s="35" t="s">
        <v>147</v>
      </c>
      <c r="E461" s="35" t="s">
        <v>12</v>
      </c>
      <c r="F461" s="35" t="s">
        <v>184</v>
      </c>
      <c r="G461" s="83">
        <f t="shared" si="30"/>
        <v>0</v>
      </c>
      <c r="H461" s="83">
        <f>5-5</f>
        <v>0</v>
      </c>
      <c r="I461" s="108"/>
    </row>
    <row r="462" spans="1:9" ht="45" customHeight="1">
      <c r="A462" s="245" t="s">
        <v>597</v>
      </c>
      <c r="B462" s="171" t="s">
        <v>395</v>
      </c>
      <c r="C462" s="171" t="s">
        <v>141</v>
      </c>
      <c r="D462" s="171" t="s">
        <v>141</v>
      </c>
      <c r="E462" s="171" t="s">
        <v>304</v>
      </c>
      <c r="F462" s="171" t="s">
        <v>391</v>
      </c>
      <c r="G462" s="91">
        <f t="shared" si="30"/>
        <v>28604.171000000002</v>
      </c>
      <c r="H462" s="121">
        <f>H463+H472+H475+H481+H484</f>
        <v>17313.095</v>
      </c>
      <c r="I462" s="121">
        <f>I463+I472+I484</f>
        <v>11291.076</v>
      </c>
    </row>
    <row r="463" spans="1:9" ht="45.75" customHeight="1">
      <c r="A463" s="50" t="s">
        <v>380</v>
      </c>
      <c r="B463" s="75" t="s">
        <v>395</v>
      </c>
      <c r="C463" s="35" t="s">
        <v>140</v>
      </c>
      <c r="D463" s="35" t="s">
        <v>153</v>
      </c>
      <c r="E463" s="35" t="s">
        <v>304</v>
      </c>
      <c r="F463" s="35" t="s">
        <v>391</v>
      </c>
      <c r="G463" s="83">
        <f t="shared" si="30"/>
        <v>5909.92</v>
      </c>
      <c r="H463" s="108">
        <f>H464</f>
        <v>5909.92</v>
      </c>
      <c r="I463" s="108">
        <f>I464</f>
        <v>0</v>
      </c>
    </row>
    <row r="464" spans="1:9" ht="42.75" customHeight="1">
      <c r="A464" s="50" t="s">
        <v>144</v>
      </c>
      <c r="B464" s="75" t="s">
        <v>395</v>
      </c>
      <c r="C464" s="35" t="s">
        <v>140</v>
      </c>
      <c r="D464" s="35" t="s">
        <v>153</v>
      </c>
      <c r="E464" s="35" t="s">
        <v>8</v>
      </c>
      <c r="F464" s="35" t="s">
        <v>391</v>
      </c>
      <c r="G464" s="83">
        <f t="shared" si="30"/>
        <v>5909.92</v>
      </c>
      <c r="H464" s="108">
        <f>H465</f>
        <v>5909.92</v>
      </c>
      <c r="I464" s="108">
        <f>I465</f>
        <v>0</v>
      </c>
    </row>
    <row r="465" spans="1:11" ht="41.25">
      <c r="A465" s="17" t="s">
        <v>275</v>
      </c>
      <c r="B465" s="75" t="s">
        <v>395</v>
      </c>
      <c r="C465" s="35" t="s">
        <v>140</v>
      </c>
      <c r="D465" s="35" t="s">
        <v>153</v>
      </c>
      <c r="E465" s="35" t="s">
        <v>9</v>
      </c>
      <c r="F465" s="35" t="s">
        <v>391</v>
      </c>
      <c r="G465" s="83">
        <f t="shared" si="30"/>
        <v>5909.92</v>
      </c>
      <c r="H465" s="108">
        <f>H466+H468+H470</f>
        <v>5909.92</v>
      </c>
      <c r="I465" s="108">
        <f>I466+I468+I470</f>
        <v>0</v>
      </c>
      <c r="K465" s="82"/>
    </row>
    <row r="466" spans="1:9" ht="91.5" customHeight="1">
      <c r="A466" s="17" t="s">
        <v>177</v>
      </c>
      <c r="B466" s="75" t="s">
        <v>395</v>
      </c>
      <c r="C466" s="35" t="s">
        <v>140</v>
      </c>
      <c r="D466" s="35" t="s">
        <v>153</v>
      </c>
      <c r="E466" s="35" t="s">
        <v>12</v>
      </c>
      <c r="F466" s="35" t="s">
        <v>145</v>
      </c>
      <c r="G466" s="83">
        <f t="shared" si="30"/>
        <v>4965.52</v>
      </c>
      <c r="H466" s="108">
        <f>H467</f>
        <v>4965.52</v>
      </c>
      <c r="I466" s="108">
        <f>I467</f>
        <v>0</v>
      </c>
    </row>
    <row r="467" spans="1:9" ht="27">
      <c r="A467" s="17" t="s">
        <v>179</v>
      </c>
      <c r="B467" s="75" t="s">
        <v>395</v>
      </c>
      <c r="C467" s="35" t="s">
        <v>140</v>
      </c>
      <c r="D467" s="35" t="s">
        <v>153</v>
      </c>
      <c r="E467" s="35" t="s">
        <v>12</v>
      </c>
      <c r="F467" s="35" t="s">
        <v>178</v>
      </c>
      <c r="G467" s="83">
        <f t="shared" si="30"/>
        <v>4965.52</v>
      </c>
      <c r="H467" s="83">
        <f>5591.12-350-100-35.75375+2.85375-30-6.8-5.9-100</f>
        <v>4965.52</v>
      </c>
      <c r="I467" s="108"/>
    </row>
    <row r="468" spans="1:9" ht="27">
      <c r="A468" s="17" t="s">
        <v>180</v>
      </c>
      <c r="B468" s="75" t="s">
        <v>395</v>
      </c>
      <c r="C468" s="35" t="s">
        <v>140</v>
      </c>
      <c r="D468" s="35" t="s">
        <v>153</v>
      </c>
      <c r="E468" s="35" t="s">
        <v>12</v>
      </c>
      <c r="F468" s="35" t="s">
        <v>149</v>
      </c>
      <c r="G468" s="83">
        <f t="shared" si="30"/>
        <v>944.4</v>
      </c>
      <c r="H468" s="108">
        <f>H469</f>
        <v>944.4</v>
      </c>
      <c r="I468" s="108">
        <f>I469</f>
        <v>0</v>
      </c>
    </row>
    <row r="469" spans="1:9" ht="41.25">
      <c r="A469" s="17" t="s">
        <v>181</v>
      </c>
      <c r="B469" s="75" t="s">
        <v>395</v>
      </c>
      <c r="C469" s="35" t="s">
        <v>140</v>
      </c>
      <c r="D469" s="35" t="s">
        <v>153</v>
      </c>
      <c r="E469" s="35" t="s">
        <v>12</v>
      </c>
      <c r="F469" s="35" t="s">
        <v>182</v>
      </c>
      <c r="G469" s="83">
        <f t="shared" si="30"/>
        <v>944.4</v>
      </c>
      <c r="H469" s="83">
        <f>860.8+58.6+25</f>
        <v>944.4</v>
      </c>
      <c r="I469" s="108"/>
    </row>
    <row r="470" spans="1:9" ht="13.5" hidden="1">
      <c r="A470" s="17" t="s">
        <v>185</v>
      </c>
      <c r="B470" s="75" t="s">
        <v>395</v>
      </c>
      <c r="C470" s="35" t="s">
        <v>140</v>
      </c>
      <c r="D470" s="35" t="s">
        <v>153</v>
      </c>
      <c r="E470" s="35" t="s">
        <v>12</v>
      </c>
      <c r="F470" s="35" t="s">
        <v>186</v>
      </c>
      <c r="G470" s="83">
        <f t="shared" si="30"/>
        <v>0</v>
      </c>
      <c r="H470" s="108">
        <f>H471</f>
        <v>0</v>
      </c>
      <c r="I470" s="108">
        <f>I471</f>
        <v>0</v>
      </c>
    </row>
    <row r="471" spans="1:9" ht="13.5" hidden="1">
      <c r="A471" s="17" t="s">
        <v>183</v>
      </c>
      <c r="B471" s="75" t="s">
        <v>395</v>
      </c>
      <c r="C471" s="35" t="s">
        <v>140</v>
      </c>
      <c r="D471" s="35" t="s">
        <v>153</v>
      </c>
      <c r="E471" s="35" t="s">
        <v>12</v>
      </c>
      <c r="F471" s="35" t="s">
        <v>184</v>
      </c>
      <c r="G471" s="83">
        <f t="shared" si="30"/>
        <v>0</v>
      </c>
      <c r="H471" s="83">
        <f>8-5-3</f>
        <v>0</v>
      </c>
      <c r="I471" s="108"/>
    </row>
    <row r="472" spans="1:9" ht="13.5" hidden="1">
      <c r="A472" s="17" t="s">
        <v>189</v>
      </c>
      <c r="B472" s="75" t="s">
        <v>395</v>
      </c>
      <c r="C472" s="35" t="s">
        <v>140</v>
      </c>
      <c r="D472" s="35" t="s">
        <v>153</v>
      </c>
      <c r="E472" s="35" t="s">
        <v>306</v>
      </c>
      <c r="F472" s="35" t="s">
        <v>391</v>
      </c>
      <c r="G472" s="83">
        <f t="shared" si="30"/>
        <v>0</v>
      </c>
      <c r="H472" s="108">
        <f>H473</f>
        <v>0</v>
      </c>
      <c r="I472" s="108">
        <f>I473</f>
        <v>0</v>
      </c>
    </row>
    <row r="473" spans="1:9" ht="13.5" hidden="1">
      <c r="A473" s="17" t="s">
        <v>185</v>
      </c>
      <c r="B473" s="75" t="s">
        <v>395</v>
      </c>
      <c r="C473" s="35" t="s">
        <v>140</v>
      </c>
      <c r="D473" s="35" t="s">
        <v>153</v>
      </c>
      <c r="E473" s="35" t="s">
        <v>306</v>
      </c>
      <c r="F473" s="35" t="s">
        <v>186</v>
      </c>
      <c r="G473" s="83">
        <f t="shared" si="30"/>
        <v>0</v>
      </c>
      <c r="H473" s="108">
        <f>H474</f>
        <v>0</v>
      </c>
      <c r="I473" s="108">
        <f>I474</f>
        <v>0</v>
      </c>
    </row>
    <row r="474" spans="1:9" ht="13.5" hidden="1">
      <c r="A474" s="17" t="s">
        <v>189</v>
      </c>
      <c r="B474" s="75" t="s">
        <v>395</v>
      </c>
      <c r="C474" s="35" t="s">
        <v>140</v>
      </c>
      <c r="D474" s="35" t="s">
        <v>153</v>
      </c>
      <c r="E474" s="35" t="s">
        <v>306</v>
      </c>
      <c r="F474" s="35" t="s">
        <v>190</v>
      </c>
      <c r="G474" s="83">
        <f t="shared" si="30"/>
        <v>0</v>
      </c>
      <c r="H474" s="108"/>
      <c r="I474" s="108"/>
    </row>
    <row r="475" spans="1:9" ht="27" hidden="1">
      <c r="A475" s="54" t="s">
        <v>482</v>
      </c>
      <c r="B475" s="72" t="s">
        <v>395</v>
      </c>
      <c r="C475" s="57" t="s">
        <v>140</v>
      </c>
      <c r="D475" s="57" t="s">
        <v>374</v>
      </c>
      <c r="E475" s="57" t="s">
        <v>304</v>
      </c>
      <c r="F475" s="57" t="s">
        <v>391</v>
      </c>
      <c r="G475" s="92">
        <f t="shared" si="30"/>
        <v>0</v>
      </c>
      <c r="H475" s="92">
        <f>H476</f>
        <v>0</v>
      </c>
      <c r="I475" s="92"/>
    </row>
    <row r="476" spans="1:9" ht="27" hidden="1">
      <c r="A476" s="17" t="s">
        <v>483</v>
      </c>
      <c r="B476" s="75" t="s">
        <v>395</v>
      </c>
      <c r="C476" s="35" t="s">
        <v>140</v>
      </c>
      <c r="D476" s="35" t="s">
        <v>374</v>
      </c>
      <c r="E476" s="35" t="s">
        <v>8</v>
      </c>
      <c r="F476" s="35" t="s">
        <v>391</v>
      </c>
      <c r="G476" s="83">
        <f t="shared" si="30"/>
        <v>0</v>
      </c>
      <c r="H476" s="108">
        <f>H477</f>
        <v>0</v>
      </c>
      <c r="I476" s="108"/>
    </row>
    <row r="477" spans="1:9" ht="41.25" hidden="1">
      <c r="A477" s="17" t="s">
        <v>144</v>
      </c>
      <c r="B477" s="75" t="s">
        <v>395</v>
      </c>
      <c r="C477" s="35" t="s">
        <v>140</v>
      </c>
      <c r="D477" s="35" t="s">
        <v>374</v>
      </c>
      <c r="E477" s="35" t="s">
        <v>9</v>
      </c>
      <c r="F477" s="35" t="s">
        <v>391</v>
      </c>
      <c r="G477" s="83">
        <f t="shared" si="30"/>
        <v>0</v>
      </c>
      <c r="H477" s="108">
        <f>H478</f>
        <v>0</v>
      </c>
      <c r="I477" s="108"/>
    </row>
    <row r="478" spans="1:9" ht="27" hidden="1">
      <c r="A478" s="17" t="s">
        <v>484</v>
      </c>
      <c r="B478" s="75" t="s">
        <v>395</v>
      </c>
      <c r="C478" s="35" t="s">
        <v>140</v>
      </c>
      <c r="D478" s="35" t="s">
        <v>374</v>
      </c>
      <c r="E478" s="35" t="s">
        <v>485</v>
      </c>
      <c r="F478" s="35" t="s">
        <v>391</v>
      </c>
      <c r="G478" s="83">
        <f t="shared" si="30"/>
        <v>0</v>
      </c>
      <c r="H478" s="108">
        <f>H479</f>
        <v>0</v>
      </c>
      <c r="I478" s="108"/>
    </row>
    <row r="479" spans="1:9" ht="13.5" hidden="1">
      <c r="A479" s="17" t="s">
        <v>185</v>
      </c>
      <c r="B479" s="75" t="s">
        <v>395</v>
      </c>
      <c r="C479" s="35" t="s">
        <v>140</v>
      </c>
      <c r="D479" s="35" t="s">
        <v>374</v>
      </c>
      <c r="E479" s="35" t="s">
        <v>485</v>
      </c>
      <c r="F479" s="35" t="s">
        <v>186</v>
      </c>
      <c r="G479" s="83">
        <f t="shared" si="30"/>
        <v>0</v>
      </c>
      <c r="H479" s="108">
        <f>H480</f>
        <v>0</v>
      </c>
      <c r="I479" s="108"/>
    </row>
    <row r="480" spans="1:9" ht="13.5" hidden="1">
      <c r="A480" s="219" t="s">
        <v>531</v>
      </c>
      <c r="B480" s="75" t="s">
        <v>395</v>
      </c>
      <c r="C480" s="35" t="s">
        <v>140</v>
      </c>
      <c r="D480" s="35" t="s">
        <v>374</v>
      </c>
      <c r="E480" s="35" t="s">
        <v>485</v>
      </c>
      <c r="F480" s="35" t="s">
        <v>532</v>
      </c>
      <c r="G480" s="83">
        <f aca="true" t="shared" si="33" ref="G480:G496">H480+I480</f>
        <v>0</v>
      </c>
      <c r="H480" s="108">
        <v>0</v>
      </c>
      <c r="I480" s="108"/>
    </row>
    <row r="481" spans="1:9" ht="13.5" hidden="1">
      <c r="A481" s="53" t="s">
        <v>189</v>
      </c>
      <c r="B481" s="72" t="s">
        <v>395</v>
      </c>
      <c r="C481" s="57" t="s">
        <v>140</v>
      </c>
      <c r="D481" s="57" t="s">
        <v>160</v>
      </c>
      <c r="E481" s="57" t="s">
        <v>16</v>
      </c>
      <c r="F481" s="57" t="s">
        <v>391</v>
      </c>
      <c r="G481" s="92">
        <f t="shared" si="33"/>
        <v>0</v>
      </c>
      <c r="H481" s="92">
        <f>H482</f>
        <v>0</v>
      </c>
      <c r="I481" s="92"/>
    </row>
    <row r="482" spans="1:9" ht="13.5" hidden="1">
      <c r="A482" s="17" t="s">
        <v>185</v>
      </c>
      <c r="B482" s="21" t="s">
        <v>395</v>
      </c>
      <c r="C482" s="35" t="s">
        <v>140</v>
      </c>
      <c r="D482" s="35" t="s">
        <v>160</v>
      </c>
      <c r="E482" s="35" t="s">
        <v>16</v>
      </c>
      <c r="F482" s="35" t="s">
        <v>186</v>
      </c>
      <c r="G482" s="83">
        <f t="shared" si="33"/>
        <v>0</v>
      </c>
      <c r="H482" s="83">
        <f>H483</f>
        <v>0</v>
      </c>
      <c r="I482" s="83"/>
    </row>
    <row r="483" spans="1:9" ht="13.5" hidden="1">
      <c r="A483" s="17" t="s">
        <v>189</v>
      </c>
      <c r="B483" s="21" t="s">
        <v>395</v>
      </c>
      <c r="C483" s="35" t="s">
        <v>140</v>
      </c>
      <c r="D483" s="35" t="s">
        <v>160</v>
      </c>
      <c r="E483" s="35" t="s">
        <v>16</v>
      </c>
      <c r="F483" s="35" t="s">
        <v>190</v>
      </c>
      <c r="G483" s="83">
        <f t="shared" si="33"/>
        <v>0</v>
      </c>
      <c r="H483" s="83">
        <v>0</v>
      </c>
      <c r="I483" s="83"/>
    </row>
    <row r="484" spans="1:9" ht="72">
      <c r="A484" s="73" t="s">
        <v>524</v>
      </c>
      <c r="B484" s="85" t="s">
        <v>395</v>
      </c>
      <c r="C484" s="71" t="s">
        <v>222</v>
      </c>
      <c r="D484" s="71" t="s">
        <v>141</v>
      </c>
      <c r="E484" s="71" t="s">
        <v>507</v>
      </c>
      <c r="F484" s="71" t="s">
        <v>391</v>
      </c>
      <c r="G484" s="86">
        <f t="shared" si="33"/>
        <v>22694.250999999997</v>
      </c>
      <c r="H484" s="86">
        <f>H485+H493+H495+H499</f>
        <v>11403.175</v>
      </c>
      <c r="I484" s="86">
        <f>I486+I495</f>
        <v>11291.076</v>
      </c>
    </row>
    <row r="485" spans="1:9" ht="48" customHeight="1">
      <c r="A485" s="17" t="s">
        <v>223</v>
      </c>
      <c r="B485" s="75" t="s">
        <v>395</v>
      </c>
      <c r="C485" s="35" t="s">
        <v>222</v>
      </c>
      <c r="D485" s="35" t="s">
        <v>140</v>
      </c>
      <c r="E485" s="35" t="s">
        <v>507</v>
      </c>
      <c r="F485" s="35" t="s">
        <v>391</v>
      </c>
      <c r="G485" s="83">
        <f t="shared" si="33"/>
        <v>19879.051</v>
      </c>
      <c r="H485" s="83">
        <f>H490</f>
        <v>8587.974999999999</v>
      </c>
      <c r="I485" s="83">
        <f>I486</f>
        <v>11291.076</v>
      </c>
    </row>
    <row r="486" spans="1:9" ht="41.25">
      <c r="A486" s="53" t="s">
        <v>224</v>
      </c>
      <c r="B486" s="75" t="s">
        <v>395</v>
      </c>
      <c r="C486" s="57" t="s">
        <v>222</v>
      </c>
      <c r="D486" s="57" t="s">
        <v>140</v>
      </c>
      <c r="E486" s="57" t="s">
        <v>499</v>
      </c>
      <c r="F486" s="57" t="s">
        <v>391</v>
      </c>
      <c r="G486" s="92">
        <f t="shared" si="33"/>
        <v>11291.076</v>
      </c>
      <c r="H486" s="92">
        <f>H487</f>
        <v>0</v>
      </c>
      <c r="I486" s="92">
        <f>I487</f>
        <v>11291.076</v>
      </c>
    </row>
    <row r="487" spans="1:9" ht="13.5">
      <c r="A487" s="17" t="s">
        <v>191</v>
      </c>
      <c r="B487" s="75" t="s">
        <v>395</v>
      </c>
      <c r="C487" s="35" t="s">
        <v>222</v>
      </c>
      <c r="D487" s="35" t="s">
        <v>140</v>
      </c>
      <c r="E487" s="35" t="s">
        <v>499</v>
      </c>
      <c r="F487" s="35" t="s">
        <v>391</v>
      </c>
      <c r="G487" s="83">
        <f t="shared" si="33"/>
        <v>11291.076</v>
      </c>
      <c r="H487" s="83">
        <f>H488</f>
        <v>0</v>
      </c>
      <c r="I487" s="83">
        <f>I488+I490</f>
        <v>11291.076</v>
      </c>
    </row>
    <row r="488" spans="1:9" ht="82.5">
      <c r="A488" s="17" t="s">
        <v>318</v>
      </c>
      <c r="B488" s="75" t="s">
        <v>395</v>
      </c>
      <c r="C488" s="35" t="s">
        <v>222</v>
      </c>
      <c r="D488" s="35" t="s">
        <v>140</v>
      </c>
      <c r="E488" s="35" t="s">
        <v>499</v>
      </c>
      <c r="F488" s="35" t="s">
        <v>391</v>
      </c>
      <c r="G488" s="83">
        <f>H488+I488</f>
        <v>11291.076</v>
      </c>
      <c r="H488" s="83">
        <f>H489</f>
        <v>0</v>
      </c>
      <c r="I488" s="83">
        <f>I489</f>
        <v>11291.076</v>
      </c>
    </row>
    <row r="489" spans="1:9" ht="13.5">
      <c r="A489" s="17" t="s">
        <v>201</v>
      </c>
      <c r="B489" s="75" t="s">
        <v>395</v>
      </c>
      <c r="C489" s="35" t="s">
        <v>222</v>
      </c>
      <c r="D489" s="35" t="s">
        <v>140</v>
      </c>
      <c r="E489" s="35" t="s">
        <v>499</v>
      </c>
      <c r="F489" s="35" t="s">
        <v>202</v>
      </c>
      <c r="G489" s="83">
        <f t="shared" si="33"/>
        <v>11291.076</v>
      </c>
      <c r="H489" s="83">
        <v>0</v>
      </c>
      <c r="I489" s="83">
        <v>11291.076</v>
      </c>
    </row>
    <row r="490" spans="1:9" ht="41.25">
      <c r="A490" s="53" t="s">
        <v>297</v>
      </c>
      <c r="B490" s="75" t="s">
        <v>395</v>
      </c>
      <c r="C490" s="57" t="s">
        <v>222</v>
      </c>
      <c r="D490" s="57" t="s">
        <v>140</v>
      </c>
      <c r="E490" s="57" t="s">
        <v>500</v>
      </c>
      <c r="F490" s="57" t="s">
        <v>391</v>
      </c>
      <c r="G490" s="92">
        <f>H490+I490</f>
        <v>8587.974999999999</v>
      </c>
      <c r="H490" s="92">
        <f>H491</f>
        <v>8587.974999999999</v>
      </c>
      <c r="I490" s="92">
        <f>I491</f>
        <v>0</v>
      </c>
    </row>
    <row r="491" spans="1:9" ht="13.5">
      <c r="A491" s="17" t="s">
        <v>201</v>
      </c>
      <c r="B491" s="75" t="s">
        <v>395</v>
      </c>
      <c r="C491" s="35" t="s">
        <v>222</v>
      </c>
      <c r="D491" s="35" t="s">
        <v>140</v>
      </c>
      <c r="E491" s="35" t="s">
        <v>500</v>
      </c>
      <c r="F491" s="35" t="s">
        <v>202</v>
      </c>
      <c r="G491" s="83">
        <f t="shared" si="33"/>
        <v>8587.974999999999</v>
      </c>
      <c r="H491" s="83">
        <f>8375.417+212.558</f>
        <v>8587.974999999999</v>
      </c>
      <c r="I491" s="83"/>
    </row>
    <row r="492" spans="1:9" ht="41.25" hidden="1">
      <c r="A492" s="17" t="s">
        <v>297</v>
      </c>
      <c r="B492" s="75" t="s">
        <v>395</v>
      </c>
      <c r="C492" s="35" t="s">
        <v>222</v>
      </c>
      <c r="D492" s="35" t="s">
        <v>140</v>
      </c>
      <c r="E492" s="35" t="s">
        <v>16</v>
      </c>
      <c r="F492" s="35" t="s">
        <v>391</v>
      </c>
      <c r="G492" s="83">
        <f>H492</f>
        <v>0</v>
      </c>
      <c r="H492" s="83">
        <f>H493</f>
        <v>0</v>
      </c>
      <c r="I492" s="83">
        <f>I493</f>
        <v>0</v>
      </c>
    </row>
    <row r="493" spans="1:9" ht="13.5" hidden="1">
      <c r="A493" s="17" t="s">
        <v>189</v>
      </c>
      <c r="B493" s="75" t="s">
        <v>395</v>
      </c>
      <c r="C493" s="35" t="s">
        <v>222</v>
      </c>
      <c r="D493" s="35" t="s">
        <v>140</v>
      </c>
      <c r="E493" s="35" t="s">
        <v>16</v>
      </c>
      <c r="F493" s="35" t="s">
        <v>202</v>
      </c>
      <c r="G493" s="83">
        <f>H493</f>
        <v>0</v>
      </c>
      <c r="H493" s="83"/>
      <c r="I493" s="83"/>
    </row>
    <row r="494" spans="1:9" ht="27">
      <c r="A494" s="53" t="s">
        <v>328</v>
      </c>
      <c r="B494" s="75" t="s">
        <v>395</v>
      </c>
      <c r="C494" s="57" t="s">
        <v>222</v>
      </c>
      <c r="D494" s="57" t="s">
        <v>147</v>
      </c>
      <c r="E494" s="57" t="s">
        <v>507</v>
      </c>
      <c r="F494" s="57" t="s">
        <v>391</v>
      </c>
      <c r="G494" s="92">
        <f t="shared" si="33"/>
        <v>1420</v>
      </c>
      <c r="H494" s="92">
        <f>H495</f>
        <v>1420</v>
      </c>
      <c r="I494" s="92">
        <f>I495</f>
        <v>0</v>
      </c>
    </row>
    <row r="495" spans="1:9" ht="27">
      <c r="A495" s="17" t="s">
        <v>436</v>
      </c>
      <c r="B495" s="75" t="s">
        <v>395</v>
      </c>
      <c r="C495" s="35" t="s">
        <v>222</v>
      </c>
      <c r="D495" s="35" t="s">
        <v>147</v>
      </c>
      <c r="E495" s="35" t="s">
        <v>501</v>
      </c>
      <c r="F495" s="35" t="s">
        <v>391</v>
      </c>
      <c r="G495" s="83">
        <f t="shared" si="33"/>
        <v>1420</v>
      </c>
      <c r="H495" s="83">
        <f>H496</f>
        <v>1420</v>
      </c>
      <c r="I495" s="83">
        <f>I497</f>
        <v>0</v>
      </c>
    </row>
    <row r="496" spans="1:9" ht="16.5" customHeight="1">
      <c r="A496" s="17" t="s">
        <v>191</v>
      </c>
      <c r="B496" s="75" t="s">
        <v>395</v>
      </c>
      <c r="C496" s="35" t="s">
        <v>222</v>
      </c>
      <c r="D496" s="35" t="s">
        <v>147</v>
      </c>
      <c r="E496" s="35" t="s">
        <v>501</v>
      </c>
      <c r="F496" s="35" t="s">
        <v>192</v>
      </c>
      <c r="G496" s="83">
        <f t="shared" si="33"/>
        <v>1420</v>
      </c>
      <c r="H496" s="83">
        <f>H497+H500</f>
        <v>1420</v>
      </c>
      <c r="I496" s="83"/>
    </row>
    <row r="497" spans="1:9" ht="17.25" customHeight="1">
      <c r="A497" s="17" t="s">
        <v>286</v>
      </c>
      <c r="B497" s="75" t="s">
        <v>395</v>
      </c>
      <c r="C497" s="35" t="s">
        <v>222</v>
      </c>
      <c r="D497" s="35" t="s">
        <v>147</v>
      </c>
      <c r="E497" s="35" t="s">
        <v>501</v>
      </c>
      <c r="F497" s="35" t="s">
        <v>435</v>
      </c>
      <c r="G497" s="83">
        <f>H497+I497</f>
        <v>1420</v>
      </c>
      <c r="H497" s="83">
        <f>450+170+100+419+281</f>
        <v>1420</v>
      </c>
      <c r="I497" s="83"/>
    </row>
    <row r="498" spans="1:9" ht="13.5" hidden="1">
      <c r="A498" s="17" t="s">
        <v>191</v>
      </c>
      <c r="B498" s="75" t="s">
        <v>395</v>
      </c>
      <c r="C498" s="35" t="s">
        <v>222</v>
      </c>
      <c r="D498" s="35" t="s">
        <v>147</v>
      </c>
      <c r="E498" s="35" t="s">
        <v>488</v>
      </c>
      <c r="F498" s="35" t="s">
        <v>192</v>
      </c>
      <c r="G498" s="83">
        <f>H498</f>
        <v>1395.2</v>
      </c>
      <c r="H498" s="83">
        <f>H499</f>
        <v>1395.2</v>
      </c>
      <c r="I498" s="108"/>
    </row>
    <row r="499" spans="1:9" ht="110.25">
      <c r="A499" s="17" t="s">
        <v>934</v>
      </c>
      <c r="B499" s="75" t="s">
        <v>395</v>
      </c>
      <c r="C499" s="35" t="s">
        <v>222</v>
      </c>
      <c r="D499" s="35" t="s">
        <v>147</v>
      </c>
      <c r="E499" s="35" t="s">
        <v>931</v>
      </c>
      <c r="F499" s="35" t="s">
        <v>435</v>
      </c>
      <c r="G499" s="83">
        <f>H499</f>
        <v>1395.2</v>
      </c>
      <c r="H499" s="83">
        <v>1395.2</v>
      </c>
      <c r="I499" s="108"/>
    </row>
    <row r="500" spans="1:9" ht="69" hidden="1">
      <c r="A500" s="17" t="s">
        <v>661</v>
      </c>
      <c r="B500" s="75" t="s">
        <v>395</v>
      </c>
      <c r="C500" s="35" t="s">
        <v>222</v>
      </c>
      <c r="D500" s="35" t="s">
        <v>147</v>
      </c>
      <c r="E500" s="35" t="s">
        <v>701</v>
      </c>
      <c r="F500" s="35" t="s">
        <v>435</v>
      </c>
      <c r="G500" s="83">
        <f>H500</f>
        <v>0</v>
      </c>
      <c r="H500" s="83">
        <v>0</v>
      </c>
      <c r="I500" s="108"/>
    </row>
    <row r="501" spans="1:9" ht="69">
      <c r="A501" s="245" t="s">
        <v>408</v>
      </c>
      <c r="B501" s="171" t="s">
        <v>394</v>
      </c>
      <c r="C501" s="171" t="s">
        <v>141</v>
      </c>
      <c r="D501" s="171" t="s">
        <v>141</v>
      </c>
      <c r="E501" s="171" t="s">
        <v>304</v>
      </c>
      <c r="F501" s="171" t="s">
        <v>391</v>
      </c>
      <c r="G501" s="91">
        <f>H501+I501</f>
        <v>463410.47814</v>
      </c>
      <c r="H501" s="121">
        <f>H502+H655+H671</f>
        <v>213421.54571</v>
      </c>
      <c r="I501" s="121">
        <f>I502+I511+I655+I671</f>
        <v>249988.93243</v>
      </c>
    </row>
    <row r="502" spans="1:9" ht="13.5">
      <c r="A502" s="103" t="s">
        <v>373</v>
      </c>
      <c r="B502" s="171" t="s">
        <v>394</v>
      </c>
      <c r="C502" s="78" t="s">
        <v>374</v>
      </c>
      <c r="D502" s="78" t="s">
        <v>141</v>
      </c>
      <c r="E502" s="78" t="s">
        <v>304</v>
      </c>
      <c r="F502" s="78" t="s">
        <v>391</v>
      </c>
      <c r="G502" s="91">
        <f>I502+H502</f>
        <v>458360.75814</v>
      </c>
      <c r="H502" s="121">
        <f>H503+H529+H578+H591+H596+H606+H614+H588</f>
        <v>213421.54571</v>
      </c>
      <c r="I502" s="121">
        <f>I503+I529+I578+I591+I596+I614</f>
        <v>244939.21242999999</v>
      </c>
    </row>
    <row r="503" spans="1:9" ht="13.5">
      <c r="A503" s="77" t="s">
        <v>382</v>
      </c>
      <c r="B503" s="171" t="s">
        <v>394</v>
      </c>
      <c r="C503" s="78" t="s">
        <v>374</v>
      </c>
      <c r="D503" s="78" t="s">
        <v>140</v>
      </c>
      <c r="E503" s="78" t="s">
        <v>304</v>
      </c>
      <c r="F503" s="78" t="s">
        <v>391</v>
      </c>
      <c r="G503" s="91">
        <f aca="true" t="shared" si="34" ref="G503:G618">H503+I503</f>
        <v>77170.837</v>
      </c>
      <c r="H503" s="121">
        <f>H504+H514+H517+H524</f>
        <v>37701.725000000006</v>
      </c>
      <c r="I503" s="121">
        <f>I504+I514</f>
        <v>39469.112</v>
      </c>
    </row>
    <row r="504" spans="1:9" ht="41.25">
      <c r="A504" s="53" t="s">
        <v>452</v>
      </c>
      <c r="B504" s="169" t="s">
        <v>394</v>
      </c>
      <c r="C504" s="57" t="s">
        <v>374</v>
      </c>
      <c r="D504" s="57" t="s">
        <v>140</v>
      </c>
      <c r="E504" s="57" t="s">
        <v>26</v>
      </c>
      <c r="F504" s="57" t="s">
        <v>391</v>
      </c>
      <c r="G504" s="92">
        <f t="shared" si="34"/>
        <v>36801.725000000006</v>
      </c>
      <c r="H504" s="120">
        <f>H505</f>
        <v>36801.725000000006</v>
      </c>
      <c r="I504" s="120">
        <f>I505</f>
        <v>0</v>
      </c>
    </row>
    <row r="505" spans="1:9" ht="41.25">
      <c r="A505" s="79" t="s">
        <v>242</v>
      </c>
      <c r="B505" s="75" t="s">
        <v>394</v>
      </c>
      <c r="C505" s="35" t="s">
        <v>374</v>
      </c>
      <c r="D505" s="35" t="s">
        <v>140</v>
      </c>
      <c r="E505" s="35" t="s">
        <v>39</v>
      </c>
      <c r="F505" s="35" t="s">
        <v>391</v>
      </c>
      <c r="G505" s="83">
        <f t="shared" si="34"/>
        <v>36801.725000000006</v>
      </c>
      <c r="H505" s="108">
        <f>H506+H511+H509</f>
        <v>36801.725000000006</v>
      </c>
      <c r="I505" s="108">
        <f>I506+I511</f>
        <v>0</v>
      </c>
    </row>
    <row r="506" spans="1:9" ht="41.25">
      <c r="A506" s="17" t="s">
        <v>203</v>
      </c>
      <c r="B506" s="75" t="s">
        <v>394</v>
      </c>
      <c r="C506" s="35" t="s">
        <v>374</v>
      </c>
      <c r="D506" s="35" t="s">
        <v>140</v>
      </c>
      <c r="E506" s="35" t="s">
        <v>41</v>
      </c>
      <c r="F506" s="35" t="s">
        <v>204</v>
      </c>
      <c r="G506" s="83">
        <f t="shared" si="34"/>
        <v>2890.1250000000005</v>
      </c>
      <c r="H506" s="108">
        <f>H507</f>
        <v>2890.1250000000005</v>
      </c>
      <c r="I506" s="108">
        <f>I507</f>
        <v>0</v>
      </c>
    </row>
    <row r="507" spans="1:9" ht="13.5">
      <c r="A507" s="44" t="s">
        <v>205</v>
      </c>
      <c r="B507" s="75" t="s">
        <v>394</v>
      </c>
      <c r="C507" s="35" t="s">
        <v>374</v>
      </c>
      <c r="D507" s="35" t="s">
        <v>140</v>
      </c>
      <c r="E507" s="35" t="s">
        <v>40</v>
      </c>
      <c r="F507" s="35" t="s">
        <v>271</v>
      </c>
      <c r="G507" s="83">
        <f>H507+I507</f>
        <v>2890.1250000000005</v>
      </c>
      <c r="H507" s="83">
        <f>200+200+2794.8-209.919-94.756</f>
        <v>2890.1250000000005</v>
      </c>
      <c r="I507" s="108"/>
    </row>
    <row r="508" spans="1:9" ht="41.25">
      <c r="A508" s="17" t="s">
        <v>203</v>
      </c>
      <c r="B508" s="21" t="s">
        <v>394</v>
      </c>
      <c r="C508" s="35" t="s">
        <v>374</v>
      </c>
      <c r="D508" s="35" t="s">
        <v>140</v>
      </c>
      <c r="E508" s="35" t="s">
        <v>811</v>
      </c>
      <c r="F508" s="35" t="s">
        <v>204</v>
      </c>
      <c r="G508" s="83">
        <f>H508+I508</f>
        <v>80</v>
      </c>
      <c r="H508" s="83">
        <f>H509</f>
        <v>80</v>
      </c>
      <c r="I508" s="83">
        <f>I509</f>
        <v>0</v>
      </c>
    </row>
    <row r="509" spans="1:9" ht="35.25" customHeight="1">
      <c r="A509" s="73" t="s">
        <v>814</v>
      </c>
      <c r="B509" s="85" t="s">
        <v>394</v>
      </c>
      <c r="C509" s="71" t="s">
        <v>374</v>
      </c>
      <c r="D509" s="71" t="s">
        <v>140</v>
      </c>
      <c r="E509" s="71" t="s">
        <v>811</v>
      </c>
      <c r="F509" s="71" t="s">
        <v>271</v>
      </c>
      <c r="G509" s="86">
        <f>H509+I509</f>
        <v>80</v>
      </c>
      <c r="H509" s="86">
        <v>80</v>
      </c>
      <c r="I509" s="86"/>
    </row>
    <row r="510" spans="1:9" ht="13.5" hidden="1">
      <c r="A510" s="44"/>
      <c r="B510" s="75" t="s">
        <v>394</v>
      </c>
      <c r="C510" s="35" t="s">
        <v>374</v>
      </c>
      <c r="D510" s="35" t="s">
        <v>140</v>
      </c>
      <c r="E510" s="35"/>
      <c r="F510" s="35"/>
      <c r="G510" s="83"/>
      <c r="H510" s="83"/>
      <c r="I510" s="108"/>
    </row>
    <row r="511" spans="1:10" ht="82.5">
      <c r="A511" s="17" t="s">
        <v>871</v>
      </c>
      <c r="B511" s="75" t="s">
        <v>394</v>
      </c>
      <c r="C511" s="35" t="s">
        <v>374</v>
      </c>
      <c r="D511" s="35" t="s">
        <v>140</v>
      </c>
      <c r="E511" s="35" t="s">
        <v>41</v>
      </c>
      <c r="F511" s="35" t="s">
        <v>391</v>
      </c>
      <c r="G511" s="83">
        <f>H511+I511</f>
        <v>33831.600000000006</v>
      </c>
      <c r="H511" s="108">
        <f>H512</f>
        <v>33831.600000000006</v>
      </c>
      <c r="I511" s="108">
        <f>I512</f>
        <v>0</v>
      </c>
      <c r="J511" s="49"/>
    </row>
    <row r="512" spans="1:9" ht="41.25">
      <c r="A512" s="17" t="s">
        <v>203</v>
      </c>
      <c r="B512" s="75" t="s">
        <v>394</v>
      </c>
      <c r="C512" s="35" t="s">
        <v>374</v>
      </c>
      <c r="D512" s="35" t="s">
        <v>140</v>
      </c>
      <c r="E512" s="35" t="s">
        <v>41</v>
      </c>
      <c r="F512" s="35" t="s">
        <v>204</v>
      </c>
      <c r="G512" s="83">
        <f t="shared" si="34"/>
        <v>33831.600000000006</v>
      </c>
      <c r="H512" s="108">
        <f>H513</f>
        <v>33831.600000000006</v>
      </c>
      <c r="I512" s="108">
        <f>I513</f>
        <v>0</v>
      </c>
    </row>
    <row r="513" spans="1:10" ht="13.5">
      <c r="A513" s="17" t="s">
        <v>168</v>
      </c>
      <c r="B513" s="75" t="s">
        <v>394</v>
      </c>
      <c r="C513" s="35" t="s">
        <v>374</v>
      </c>
      <c r="D513" s="35" t="s">
        <v>140</v>
      </c>
      <c r="E513" s="35" t="s">
        <v>42</v>
      </c>
      <c r="F513" s="35" t="s">
        <v>271</v>
      </c>
      <c r="G513" s="83">
        <f t="shared" si="34"/>
        <v>33831.600000000006</v>
      </c>
      <c r="H513" s="83">
        <f>21846.4+4500.9-1950.4+2310.4+7124.3</f>
        <v>33831.600000000006</v>
      </c>
      <c r="I513" s="108"/>
      <c r="J513" s="49"/>
    </row>
    <row r="514" spans="1:9" ht="69">
      <c r="A514" s="17" t="s">
        <v>378</v>
      </c>
      <c r="B514" s="75" t="s">
        <v>394</v>
      </c>
      <c r="C514" s="35" t="s">
        <v>374</v>
      </c>
      <c r="D514" s="21" t="s">
        <v>140</v>
      </c>
      <c r="E514" s="35" t="s">
        <v>43</v>
      </c>
      <c r="F514" s="35" t="s">
        <v>391</v>
      </c>
      <c r="G514" s="83">
        <f>H514+I514</f>
        <v>39469.112</v>
      </c>
      <c r="H514" s="108">
        <f>H515</f>
        <v>0</v>
      </c>
      <c r="I514" s="108">
        <f>I515</f>
        <v>39469.112</v>
      </c>
    </row>
    <row r="515" spans="1:9" ht="41.25">
      <c r="A515" s="17" t="s">
        <v>203</v>
      </c>
      <c r="B515" s="75" t="s">
        <v>394</v>
      </c>
      <c r="C515" s="35" t="s">
        <v>374</v>
      </c>
      <c r="D515" s="35" t="s">
        <v>140</v>
      </c>
      <c r="E515" s="35" t="s">
        <v>43</v>
      </c>
      <c r="F515" s="35" t="s">
        <v>204</v>
      </c>
      <c r="G515" s="83">
        <f t="shared" si="34"/>
        <v>39469.112</v>
      </c>
      <c r="H515" s="108"/>
      <c r="I515" s="83">
        <f>I516</f>
        <v>39469.112</v>
      </c>
    </row>
    <row r="516" spans="1:9" ht="13.5">
      <c r="A516" s="17" t="s">
        <v>205</v>
      </c>
      <c r="B516" s="75" t="s">
        <v>394</v>
      </c>
      <c r="C516" s="35" t="s">
        <v>374</v>
      </c>
      <c r="D516" s="35" t="s">
        <v>140</v>
      </c>
      <c r="E516" s="35" t="s">
        <v>43</v>
      </c>
      <c r="F516" s="35" t="s">
        <v>271</v>
      </c>
      <c r="G516" s="83">
        <f t="shared" si="34"/>
        <v>39469.112</v>
      </c>
      <c r="H516" s="108"/>
      <c r="I516" s="83">
        <f>38428.372+1040.74</f>
        <v>39469.112</v>
      </c>
    </row>
    <row r="517" spans="1:9" ht="31.5" customHeight="1" hidden="1">
      <c r="A517" s="53" t="s">
        <v>554</v>
      </c>
      <c r="B517" s="75" t="s">
        <v>846</v>
      </c>
      <c r="C517" s="35" t="s">
        <v>374</v>
      </c>
      <c r="D517" s="35" t="s">
        <v>140</v>
      </c>
      <c r="E517" s="57" t="s">
        <v>304</v>
      </c>
      <c r="F517" s="57" t="s">
        <v>391</v>
      </c>
      <c r="G517" s="86">
        <f>H517</f>
        <v>0</v>
      </c>
      <c r="H517" s="86">
        <f>H518+H521</f>
        <v>0</v>
      </c>
      <c r="I517" s="86"/>
    </row>
    <row r="518" spans="1:9" ht="33" customHeight="1" hidden="1">
      <c r="A518" s="17" t="s">
        <v>555</v>
      </c>
      <c r="B518" s="75" t="s">
        <v>847</v>
      </c>
      <c r="C518" s="35" t="s">
        <v>374</v>
      </c>
      <c r="D518" s="35" t="s">
        <v>140</v>
      </c>
      <c r="E518" s="35" t="s">
        <v>556</v>
      </c>
      <c r="F518" s="35" t="s">
        <v>391</v>
      </c>
      <c r="G518" s="83">
        <f>H518</f>
        <v>0</v>
      </c>
      <c r="H518" s="83">
        <f>H519</f>
        <v>0</v>
      </c>
      <c r="I518" s="83"/>
    </row>
    <row r="519" spans="1:9" ht="47.25" customHeight="1" hidden="1">
      <c r="A519" s="17" t="s">
        <v>203</v>
      </c>
      <c r="B519" s="75" t="s">
        <v>393</v>
      </c>
      <c r="C519" s="35" t="s">
        <v>374</v>
      </c>
      <c r="D519" s="35" t="s">
        <v>140</v>
      </c>
      <c r="E519" s="35" t="s">
        <v>556</v>
      </c>
      <c r="F519" s="35" t="s">
        <v>204</v>
      </c>
      <c r="G519" s="83">
        <f>H519</f>
        <v>0</v>
      </c>
      <c r="H519" s="83">
        <f>H520</f>
        <v>0</v>
      </c>
      <c r="I519" s="83"/>
    </row>
    <row r="520" spans="1:9" ht="22.5" customHeight="1" hidden="1">
      <c r="A520" s="17" t="s">
        <v>205</v>
      </c>
      <c r="B520" s="75" t="s">
        <v>848</v>
      </c>
      <c r="C520" s="35" t="s">
        <v>374</v>
      </c>
      <c r="D520" s="35" t="s">
        <v>140</v>
      </c>
      <c r="E520" s="35" t="s">
        <v>556</v>
      </c>
      <c r="F520" s="35" t="s">
        <v>271</v>
      </c>
      <c r="G520" s="83">
        <f>H520</f>
        <v>0</v>
      </c>
      <c r="H520" s="83">
        <v>0</v>
      </c>
      <c r="I520" s="83"/>
    </row>
    <row r="521" spans="1:9" ht="33" customHeight="1" hidden="1">
      <c r="A521" s="53" t="s">
        <v>808</v>
      </c>
      <c r="B521" s="75" t="s">
        <v>849</v>
      </c>
      <c r="C521" s="35" t="s">
        <v>374</v>
      </c>
      <c r="D521" s="35" t="s">
        <v>140</v>
      </c>
      <c r="E521" s="299" t="s">
        <v>9</v>
      </c>
      <c r="F521" s="57" t="s">
        <v>391</v>
      </c>
      <c r="G521" s="92">
        <f>H521+I521</f>
        <v>0</v>
      </c>
      <c r="H521" s="92">
        <f>H522</f>
        <v>0</v>
      </c>
      <c r="I521" s="92">
        <f>I522</f>
        <v>0</v>
      </c>
    </row>
    <row r="522" spans="1:9" ht="50.25" customHeight="1" hidden="1">
      <c r="A522" s="17" t="s">
        <v>203</v>
      </c>
      <c r="B522" s="75" t="s">
        <v>850</v>
      </c>
      <c r="C522" s="35" t="s">
        <v>374</v>
      </c>
      <c r="D522" s="35" t="s">
        <v>140</v>
      </c>
      <c r="E522" s="56" t="s">
        <v>9</v>
      </c>
      <c r="F522" s="35" t="s">
        <v>204</v>
      </c>
      <c r="G522" s="83">
        <f>H522+I522</f>
        <v>0</v>
      </c>
      <c r="H522" s="83">
        <f>H523</f>
        <v>0</v>
      </c>
      <c r="I522" s="83">
        <f>I523</f>
        <v>0</v>
      </c>
    </row>
    <row r="523" spans="1:9" ht="22.5" customHeight="1" hidden="1">
      <c r="A523" s="17" t="s">
        <v>205</v>
      </c>
      <c r="B523" s="75" t="s">
        <v>851</v>
      </c>
      <c r="C523" s="35" t="s">
        <v>374</v>
      </c>
      <c r="D523" s="35" t="s">
        <v>140</v>
      </c>
      <c r="E523" s="56" t="s">
        <v>9</v>
      </c>
      <c r="F523" s="35" t="s">
        <v>271</v>
      </c>
      <c r="G523" s="83">
        <f>H523+I523</f>
        <v>0</v>
      </c>
      <c r="H523" s="83"/>
      <c r="I523" s="83"/>
    </row>
    <row r="524" spans="1:9" ht="33.75" customHeight="1">
      <c r="A524" s="17" t="s">
        <v>143</v>
      </c>
      <c r="B524" s="21" t="s">
        <v>394</v>
      </c>
      <c r="C524" s="35" t="s">
        <v>374</v>
      </c>
      <c r="D524" s="35" t="s">
        <v>140</v>
      </c>
      <c r="E524" s="35" t="s">
        <v>8</v>
      </c>
      <c r="F524" s="35" t="s">
        <v>391</v>
      </c>
      <c r="G524" s="83">
        <f>H524</f>
        <v>900</v>
      </c>
      <c r="H524" s="83">
        <f>H525</f>
        <v>900</v>
      </c>
      <c r="I524" s="83"/>
    </row>
    <row r="525" spans="1:9" ht="48" customHeight="1">
      <c r="A525" s="17" t="s">
        <v>144</v>
      </c>
      <c r="B525" s="21" t="s">
        <v>394</v>
      </c>
      <c r="C525" s="35" t="s">
        <v>374</v>
      </c>
      <c r="D525" s="35" t="s">
        <v>140</v>
      </c>
      <c r="E525" s="35" t="s">
        <v>9</v>
      </c>
      <c r="F525" s="35" t="s">
        <v>391</v>
      </c>
      <c r="G525" s="83">
        <f>H525</f>
        <v>900</v>
      </c>
      <c r="H525" s="83">
        <f>H526</f>
        <v>900</v>
      </c>
      <c r="I525" s="83"/>
    </row>
    <row r="526" spans="1:9" ht="32.25" customHeight="1">
      <c r="A526" s="135" t="s">
        <v>611</v>
      </c>
      <c r="B526" s="21" t="s">
        <v>394</v>
      </c>
      <c r="C526" s="35" t="s">
        <v>374</v>
      </c>
      <c r="D526" s="35" t="s">
        <v>140</v>
      </c>
      <c r="E526" s="35" t="s">
        <v>556</v>
      </c>
      <c r="F526" s="35" t="s">
        <v>391</v>
      </c>
      <c r="G526" s="83">
        <f>H526+I526</f>
        <v>900</v>
      </c>
      <c r="H526" s="83">
        <f>H527</f>
        <v>900</v>
      </c>
      <c r="I526" s="83"/>
    </row>
    <row r="527" spans="1:9" ht="42.75" customHeight="1">
      <c r="A527" s="17" t="s">
        <v>203</v>
      </c>
      <c r="B527" s="21" t="s">
        <v>394</v>
      </c>
      <c r="C527" s="35" t="s">
        <v>374</v>
      </c>
      <c r="D527" s="35" t="s">
        <v>140</v>
      </c>
      <c r="E527" s="35" t="s">
        <v>556</v>
      </c>
      <c r="F527" s="35" t="s">
        <v>204</v>
      </c>
      <c r="G527" s="83">
        <f>H527+I527</f>
        <v>900</v>
      </c>
      <c r="H527" s="83">
        <f>H528</f>
        <v>900</v>
      </c>
      <c r="I527" s="83"/>
    </row>
    <row r="528" spans="1:9" ht="24.75" customHeight="1">
      <c r="A528" s="17" t="s">
        <v>205</v>
      </c>
      <c r="B528" s="21" t="s">
        <v>394</v>
      </c>
      <c r="C528" s="35" t="s">
        <v>374</v>
      </c>
      <c r="D528" s="35" t="s">
        <v>140</v>
      </c>
      <c r="E528" s="35" t="s">
        <v>556</v>
      </c>
      <c r="F528" s="35" t="s">
        <v>271</v>
      </c>
      <c r="G528" s="83">
        <f>H528+I528</f>
        <v>900</v>
      </c>
      <c r="H528" s="83">
        <v>900</v>
      </c>
      <c r="I528" s="83"/>
    </row>
    <row r="529" spans="1:9" ht="13.5">
      <c r="A529" s="77" t="s">
        <v>425</v>
      </c>
      <c r="B529" s="171" t="s">
        <v>394</v>
      </c>
      <c r="C529" s="78" t="s">
        <v>374</v>
      </c>
      <c r="D529" s="78" t="s">
        <v>142</v>
      </c>
      <c r="E529" s="78" t="s">
        <v>304</v>
      </c>
      <c r="F529" s="78" t="s">
        <v>391</v>
      </c>
      <c r="G529" s="91">
        <f>H529+I529</f>
        <v>307909.03358</v>
      </c>
      <c r="H529" s="121">
        <f>H530+H560+H575</f>
        <v>103209.17258</v>
      </c>
      <c r="I529" s="121">
        <f>I530+I560+I572</f>
        <v>204699.861</v>
      </c>
    </row>
    <row r="530" spans="1:9" ht="41.25">
      <c r="A530" s="53" t="s">
        <v>452</v>
      </c>
      <c r="B530" s="169" t="s">
        <v>394</v>
      </c>
      <c r="C530" s="57" t="s">
        <v>374</v>
      </c>
      <c r="D530" s="57" t="s">
        <v>142</v>
      </c>
      <c r="E530" s="57" t="s">
        <v>26</v>
      </c>
      <c r="F530" s="57" t="s">
        <v>391</v>
      </c>
      <c r="G530" s="92">
        <f t="shared" si="34"/>
        <v>103209.17258</v>
      </c>
      <c r="H530" s="120">
        <f>H531+H547+H554</f>
        <v>103209.17258</v>
      </c>
      <c r="I530" s="120">
        <f>I531+I535+I547+I554</f>
        <v>0</v>
      </c>
    </row>
    <row r="531" spans="1:9" ht="41.25">
      <c r="A531" s="79" t="s">
        <v>245</v>
      </c>
      <c r="B531" s="75" t="s">
        <v>394</v>
      </c>
      <c r="C531" s="35" t="s">
        <v>374</v>
      </c>
      <c r="D531" s="35" t="s">
        <v>142</v>
      </c>
      <c r="E531" s="35" t="s">
        <v>44</v>
      </c>
      <c r="F531" s="35" t="s">
        <v>391</v>
      </c>
      <c r="G531" s="83">
        <f>H531+I531</f>
        <v>101608.96699</v>
      </c>
      <c r="H531" s="108">
        <f>H532+H535+H544+H542+H539</f>
        <v>101608.96699</v>
      </c>
      <c r="I531" s="108">
        <f>I532+I535</f>
        <v>0</v>
      </c>
    </row>
    <row r="532" spans="1:9" ht="27">
      <c r="A532" s="17" t="s">
        <v>238</v>
      </c>
      <c r="B532" s="75" t="s">
        <v>394</v>
      </c>
      <c r="C532" s="35" t="s">
        <v>374</v>
      </c>
      <c r="D532" s="35" t="s">
        <v>142</v>
      </c>
      <c r="E532" s="35" t="s">
        <v>45</v>
      </c>
      <c r="F532" s="35" t="s">
        <v>391</v>
      </c>
      <c r="G532" s="83">
        <f t="shared" si="34"/>
        <v>10493.338</v>
      </c>
      <c r="H532" s="83">
        <f>H533</f>
        <v>10493.338</v>
      </c>
      <c r="I532" s="108">
        <f>I533</f>
        <v>0</v>
      </c>
    </row>
    <row r="533" spans="1:9" ht="41.25">
      <c r="A533" s="17" t="s">
        <v>203</v>
      </c>
      <c r="B533" s="75" t="s">
        <v>394</v>
      </c>
      <c r="C533" s="35" t="s">
        <v>374</v>
      </c>
      <c r="D533" s="35" t="s">
        <v>142</v>
      </c>
      <c r="E533" s="35" t="s">
        <v>45</v>
      </c>
      <c r="F533" s="35" t="s">
        <v>204</v>
      </c>
      <c r="G533" s="83">
        <f t="shared" si="34"/>
        <v>10493.338</v>
      </c>
      <c r="H533" s="108">
        <f>H534</f>
        <v>10493.338</v>
      </c>
      <c r="I533" s="108">
        <f>I534</f>
        <v>0</v>
      </c>
    </row>
    <row r="534" spans="1:9" ht="13.5">
      <c r="A534" s="44" t="s">
        <v>205</v>
      </c>
      <c r="B534" s="75" t="s">
        <v>394</v>
      </c>
      <c r="C534" s="35" t="s">
        <v>374</v>
      </c>
      <c r="D534" s="35" t="s">
        <v>142</v>
      </c>
      <c r="E534" s="35" t="s">
        <v>46</v>
      </c>
      <c r="F534" s="35" t="s">
        <v>271</v>
      </c>
      <c r="G534" s="83">
        <f t="shared" si="34"/>
        <v>10493.338</v>
      </c>
      <c r="H534" s="108">
        <f>700+100+393.313+48.5+210+10268.72-487.046-740.149</f>
        <v>10493.338</v>
      </c>
      <c r="I534" s="108"/>
    </row>
    <row r="535" spans="1:9" ht="82.5">
      <c r="A535" s="17" t="s">
        <v>870</v>
      </c>
      <c r="B535" s="21" t="s">
        <v>394</v>
      </c>
      <c r="C535" s="35" t="s">
        <v>374</v>
      </c>
      <c r="D535" s="35" t="s">
        <v>142</v>
      </c>
      <c r="E535" s="35" t="s">
        <v>45</v>
      </c>
      <c r="F535" s="35" t="s">
        <v>391</v>
      </c>
      <c r="G535" s="83">
        <f t="shared" si="34"/>
        <v>90636.62899</v>
      </c>
      <c r="H535" s="83">
        <f>H536</f>
        <v>90636.62899</v>
      </c>
      <c r="I535" s="83">
        <f>I536</f>
        <v>0</v>
      </c>
    </row>
    <row r="536" spans="1:9" ht="41.25">
      <c r="A536" s="17" t="s">
        <v>203</v>
      </c>
      <c r="B536" s="75" t="s">
        <v>394</v>
      </c>
      <c r="C536" s="35" t="s">
        <v>374</v>
      </c>
      <c r="D536" s="35" t="s">
        <v>142</v>
      </c>
      <c r="E536" s="35" t="s">
        <v>45</v>
      </c>
      <c r="F536" s="35" t="s">
        <v>204</v>
      </c>
      <c r="G536" s="83">
        <f t="shared" si="34"/>
        <v>90636.62899</v>
      </c>
      <c r="H536" s="108">
        <f>H537</f>
        <v>90636.62899</v>
      </c>
      <c r="I536" s="108">
        <f>I537</f>
        <v>0</v>
      </c>
    </row>
    <row r="537" spans="1:9" ht="20.25" customHeight="1">
      <c r="A537" s="17" t="s">
        <v>205</v>
      </c>
      <c r="B537" s="75" t="s">
        <v>394</v>
      </c>
      <c r="C537" s="35" t="s">
        <v>374</v>
      </c>
      <c r="D537" s="35" t="s">
        <v>142</v>
      </c>
      <c r="E537" s="35" t="s">
        <v>47</v>
      </c>
      <c r="F537" s="35" t="s">
        <v>271</v>
      </c>
      <c r="G537" s="83">
        <f t="shared" si="34"/>
        <v>90636.62899</v>
      </c>
      <c r="H537" s="83">
        <f>53288.5+0.03321+7299.18953-2500+30.30302-287.5+4678.14+625.912+11091.4+408-30+3677.01405+12355.63718</f>
        <v>90636.62899</v>
      </c>
      <c r="I537" s="108"/>
    </row>
    <row r="538" spans="1:9" ht="13.5" hidden="1">
      <c r="A538" s="17"/>
      <c r="B538" s="75" t="s">
        <v>394</v>
      </c>
      <c r="C538" s="35" t="s">
        <v>374</v>
      </c>
      <c r="D538" s="35" t="s">
        <v>142</v>
      </c>
      <c r="E538" s="35" t="s">
        <v>47</v>
      </c>
      <c r="F538" s="35" t="s">
        <v>271</v>
      </c>
      <c r="G538" s="83"/>
      <c r="H538" s="83"/>
      <c r="I538" s="108"/>
    </row>
    <row r="539" spans="1:9" ht="69">
      <c r="A539" s="17" t="s">
        <v>665</v>
      </c>
      <c r="B539" s="21" t="s">
        <v>394</v>
      </c>
      <c r="C539" s="35" t="s">
        <v>374</v>
      </c>
      <c r="D539" s="35" t="s">
        <v>142</v>
      </c>
      <c r="E539" s="35" t="s">
        <v>656</v>
      </c>
      <c r="F539" s="35" t="s">
        <v>391</v>
      </c>
      <c r="G539" s="83">
        <f>H539</f>
        <v>107</v>
      </c>
      <c r="H539" s="83">
        <f>H540</f>
        <v>107</v>
      </c>
      <c r="I539" s="83"/>
    </row>
    <row r="540" spans="1:9" ht="41.25">
      <c r="A540" s="17" t="s">
        <v>203</v>
      </c>
      <c r="B540" s="21" t="s">
        <v>394</v>
      </c>
      <c r="C540" s="35" t="s">
        <v>374</v>
      </c>
      <c r="D540" s="35" t="s">
        <v>142</v>
      </c>
      <c r="E540" s="35" t="s">
        <v>656</v>
      </c>
      <c r="F540" s="35" t="s">
        <v>204</v>
      </c>
      <c r="G540" s="83">
        <f>H540</f>
        <v>107</v>
      </c>
      <c r="H540" s="83">
        <f>H541</f>
        <v>107</v>
      </c>
      <c r="I540" s="83"/>
    </row>
    <row r="541" spans="1:9" ht="13.5">
      <c r="A541" s="17" t="s">
        <v>205</v>
      </c>
      <c r="B541" s="21" t="s">
        <v>394</v>
      </c>
      <c r="C541" s="35" t="s">
        <v>374</v>
      </c>
      <c r="D541" s="35" t="s">
        <v>142</v>
      </c>
      <c r="E541" s="35" t="s">
        <v>656</v>
      </c>
      <c r="F541" s="35" t="s">
        <v>271</v>
      </c>
      <c r="G541" s="83">
        <f>H541</f>
        <v>107</v>
      </c>
      <c r="H541" s="83">
        <f>76+100-69</f>
        <v>107</v>
      </c>
      <c r="I541" s="83"/>
    </row>
    <row r="542" spans="1:9" ht="41.25">
      <c r="A542" s="17" t="s">
        <v>203</v>
      </c>
      <c r="B542" s="75" t="s">
        <v>394</v>
      </c>
      <c r="C542" s="35" t="s">
        <v>374</v>
      </c>
      <c r="D542" s="35" t="s">
        <v>142</v>
      </c>
      <c r="E542" s="35" t="s">
        <v>809</v>
      </c>
      <c r="F542" s="35" t="s">
        <v>204</v>
      </c>
      <c r="G542" s="83">
        <f>H542+I542</f>
        <v>372</v>
      </c>
      <c r="H542" s="83">
        <f>H543</f>
        <v>372</v>
      </c>
      <c r="I542" s="108">
        <f>I543</f>
        <v>0</v>
      </c>
    </row>
    <row r="543" spans="1:9" ht="28.5">
      <c r="A543" s="73" t="s">
        <v>814</v>
      </c>
      <c r="B543" s="85" t="s">
        <v>394</v>
      </c>
      <c r="C543" s="71" t="s">
        <v>374</v>
      </c>
      <c r="D543" s="71" t="s">
        <v>142</v>
      </c>
      <c r="E543" s="71" t="s">
        <v>809</v>
      </c>
      <c r="F543" s="71" t="s">
        <v>271</v>
      </c>
      <c r="G543" s="86">
        <f>H543+I543</f>
        <v>372</v>
      </c>
      <c r="H543" s="86">
        <v>372</v>
      </c>
      <c r="I543" s="86">
        <v>0</v>
      </c>
    </row>
    <row r="544" spans="1:9" ht="69" hidden="1">
      <c r="A544" s="17" t="s">
        <v>773</v>
      </c>
      <c r="B544" s="75" t="s">
        <v>394</v>
      </c>
      <c r="C544" s="35" t="s">
        <v>374</v>
      </c>
      <c r="D544" s="35" t="s">
        <v>142</v>
      </c>
      <c r="E544" s="21" t="s">
        <v>774</v>
      </c>
      <c r="F544" s="35" t="s">
        <v>391</v>
      </c>
      <c r="G544" s="83">
        <f t="shared" si="34"/>
        <v>0</v>
      </c>
      <c r="H544" s="83">
        <f>H545</f>
        <v>0</v>
      </c>
      <c r="I544" s="83">
        <f>I545</f>
        <v>0</v>
      </c>
    </row>
    <row r="545" spans="1:9" ht="41.25" hidden="1">
      <c r="A545" s="17" t="s">
        <v>203</v>
      </c>
      <c r="B545" s="75" t="s">
        <v>394</v>
      </c>
      <c r="C545" s="35" t="s">
        <v>374</v>
      </c>
      <c r="D545" s="35" t="s">
        <v>142</v>
      </c>
      <c r="E545" s="21" t="s">
        <v>774</v>
      </c>
      <c r="F545" s="35" t="s">
        <v>204</v>
      </c>
      <c r="G545" s="83">
        <f t="shared" si="34"/>
        <v>0</v>
      </c>
      <c r="H545" s="83">
        <f>H546</f>
        <v>0</v>
      </c>
      <c r="I545" s="83">
        <f>I546</f>
        <v>0</v>
      </c>
    </row>
    <row r="546" spans="1:9" ht="13.5" hidden="1">
      <c r="A546" s="17" t="s">
        <v>205</v>
      </c>
      <c r="B546" s="75" t="s">
        <v>394</v>
      </c>
      <c r="C546" s="35" t="s">
        <v>374</v>
      </c>
      <c r="D546" s="35" t="s">
        <v>142</v>
      </c>
      <c r="E546" s="21" t="s">
        <v>774</v>
      </c>
      <c r="F546" s="35" t="s">
        <v>271</v>
      </c>
      <c r="G546" s="83">
        <f t="shared" si="34"/>
        <v>0</v>
      </c>
      <c r="H546" s="83">
        <f>50+68.47928-46-72.47928</f>
        <v>0</v>
      </c>
      <c r="I546" s="108">
        <v>0</v>
      </c>
    </row>
    <row r="547" spans="1:9" ht="31.5" customHeight="1">
      <c r="A547" s="79" t="s">
        <v>243</v>
      </c>
      <c r="B547" s="75" t="s">
        <v>394</v>
      </c>
      <c r="C547" s="35" t="s">
        <v>374</v>
      </c>
      <c r="D547" s="35" t="s">
        <v>142</v>
      </c>
      <c r="E547" s="35" t="s">
        <v>48</v>
      </c>
      <c r="F547" s="35" t="s">
        <v>391</v>
      </c>
      <c r="G547" s="83">
        <f t="shared" si="34"/>
        <v>1600.20559</v>
      </c>
      <c r="H547" s="83">
        <f>H548+H551</f>
        <v>1600.20559</v>
      </c>
      <c r="I547" s="108">
        <f>I548+I551</f>
        <v>0</v>
      </c>
    </row>
    <row r="548" spans="1:9" ht="27">
      <c r="A548" s="53" t="s">
        <v>244</v>
      </c>
      <c r="B548" s="169" t="s">
        <v>394</v>
      </c>
      <c r="C548" s="57" t="s">
        <v>374</v>
      </c>
      <c r="D548" s="57" t="s">
        <v>142</v>
      </c>
      <c r="E548" s="57" t="s">
        <v>49</v>
      </c>
      <c r="F548" s="57" t="s">
        <v>391</v>
      </c>
      <c r="G548" s="92">
        <f t="shared" si="34"/>
        <v>201.82759</v>
      </c>
      <c r="H548" s="120">
        <f>H549</f>
        <v>201.82759</v>
      </c>
      <c r="I548" s="120">
        <f>I549</f>
        <v>0</v>
      </c>
    </row>
    <row r="549" spans="1:9" ht="41.25">
      <c r="A549" s="17" t="s">
        <v>203</v>
      </c>
      <c r="B549" s="75" t="s">
        <v>394</v>
      </c>
      <c r="C549" s="35" t="s">
        <v>374</v>
      </c>
      <c r="D549" s="35" t="s">
        <v>142</v>
      </c>
      <c r="E549" s="35" t="s">
        <v>49</v>
      </c>
      <c r="F549" s="35" t="s">
        <v>204</v>
      </c>
      <c r="G549" s="83">
        <f t="shared" si="34"/>
        <v>201.82759</v>
      </c>
      <c r="H549" s="108">
        <f>H550</f>
        <v>201.82759</v>
      </c>
      <c r="I549" s="108">
        <f>I550</f>
        <v>0</v>
      </c>
    </row>
    <row r="550" spans="1:9" ht="13.5">
      <c r="A550" s="44" t="s">
        <v>205</v>
      </c>
      <c r="B550" s="75" t="s">
        <v>394</v>
      </c>
      <c r="C550" s="35" t="s">
        <v>374</v>
      </c>
      <c r="D550" s="35" t="s">
        <v>142</v>
      </c>
      <c r="E550" s="35" t="s">
        <v>50</v>
      </c>
      <c r="F550" s="35" t="s">
        <v>271</v>
      </c>
      <c r="G550" s="83">
        <f t="shared" si="34"/>
        <v>201.82759</v>
      </c>
      <c r="H550" s="108">
        <f>250-48.17241</f>
        <v>201.82759</v>
      </c>
      <c r="I550" s="108"/>
    </row>
    <row r="551" spans="1:9" ht="27">
      <c r="A551" s="53" t="s">
        <v>239</v>
      </c>
      <c r="B551" s="169" t="s">
        <v>394</v>
      </c>
      <c r="C551" s="57" t="s">
        <v>374</v>
      </c>
      <c r="D551" s="57" t="s">
        <v>142</v>
      </c>
      <c r="E551" s="57" t="s">
        <v>49</v>
      </c>
      <c r="F551" s="57" t="s">
        <v>391</v>
      </c>
      <c r="G551" s="92">
        <f t="shared" si="34"/>
        <v>1398.378</v>
      </c>
      <c r="H551" s="120">
        <f>H552</f>
        <v>1398.378</v>
      </c>
      <c r="I551" s="120">
        <f>I552</f>
        <v>0</v>
      </c>
    </row>
    <row r="552" spans="1:9" ht="41.25">
      <c r="A552" s="17" t="s">
        <v>203</v>
      </c>
      <c r="B552" s="75" t="s">
        <v>394</v>
      </c>
      <c r="C552" s="35" t="s">
        <v>374</v>
      </c>
      <c r="D552" s="35" t="s">
        <v>142</v>
      </c>
      <c r="E552" s="35" t="s">
        <v>49</v>
      </c>
      <c r="F552" s="35" t="s">
        <v>204</v>
      </c>
      <c r="G552" s="83">
        <f t="shared" si="34"/>
        <v>1398.378</v>
      </c>
      <c r="H552" s="108">
        <f>H553</f>
        <v>1398.378</v>
      </c>
      <c r="I552" s="108">
        <f>I553</f>
        <v>0</v>
      </c>
    </row>
    <row r="553" spans="1:9" ht="13.5">
      <c r="A553" s="44" t="s">
        <v>417</v>
      </c>
      <c r="B553" s="75" t="s">
        <v>394</v>
      </c>
      <c r="C553" s="35" t="s">
        <v>374</v>
      </c>
      <c r="D553" s="35" t="s">
        <v>142</v>
      </c>
      <c r="E553" s="35" t="s">
        <v>51</v>
      </c>
      <c r="F553" s="35" t="s">
        <v>271</v>
      </c>
      <c r="G553" s="83">
        <f t="shared" si="34"/>
        <v>1398.378</v>
      </c>
      <c r="H553" s="108">
        <f>750+500+69+79.378</f>
        <v>1398.378</v>
      </c>
      <c r="I553" s="108"/>
    </row>
    <row r="554" spans="1:9" ht="27" hidden="1">
      <c r="A554" s="79" t="s">
        <v>273</v>
      </c>
      <c r="B554" s="75" t="s">
        <v>394</v>
      </c>
      <c r="C554" s="35" t="s">
        <v>374</v>
      </c>
      <c r="D554" s="35" t="s">
        <v>142</v>
      </c>
      <c r="E554" s="35" t="s">
        <v>52</v>
      </c>
      <c r="F554" s="35" t="s">
        <v>391</v>
      </c>
      <c r="G554" s="83">
        <f t="shared" si="34"/>
        <v>0</v>
      </c>
      <c r="H554" s="108">
        <f>H555</f>
        <v>0</v>
      </c>
      <c r="I554" s="108"/>
    </row>
    <row r="555" spans="1:9" ht="41.25" hidden="1">
      <c r="A555" s="17" t="s">
        <v>203</v>
      </c>
      <c r="B555" s="75" t="s">
        <v>394</v>
      </c>
      <c r="C555" s="35" t="s">
        <v>374</v>
      </c>
      <c r="D555" s="35" t="s">
        <v>142</v>
      </c>
      <c r="E555" s="35" t="s">
        <v>53</v>
      </c>
      <c r="F555" s="35" t="s">
        <v>391</v>
      </c>
      <c r="G555" s="83">
        <f t="shared" si="34"/>
        <v>0</v>
      </c>
      <c r="H555" s="83">
        <f>H556+H557</f>
        <v>0</v>
      </c>
      <c r="I555" s="108"/>
    </row>
    <row r="556" spans="1:9" ht="27" hidden="1">
      <c r="A556" s="17" t="s">
        <v>121</v>
      </c>
      <c r="B556" s="75" t="s">
        <v>394</v>
      </c>
      <c r="C556" s="35" t="s">
        <v>374</v>
      </c>
      <c r="D556" s="35" t="s">
        <v>142</v>
      </c>
      <c r="E556" s="35" t="s">
        <v>54</v>
      </c>
      <c r="F556" s="35" t="s">
        <v>271</v>
      </c>
      <c r="G556" s="83">
        <f t="shared" si="34"/>
        <v>0</v>
      </c>
      <c r="H556" s="83"/>
      <c r="I556" s="108"/>
    </row>
    <row r="557" spans="1:9" ht="27" hidden="1">
      <c r="A557" s="17" t="s">
        <v>122</v>
      </c>
      <c r="B557" s="75" t="s">
        <v>394</v>
      </c>
      <c r="C557" s="35" t="s">
        <v>374</v>
      </c>
      <c r="D557" s="35" t="s">
        <v>142</v>
      </c>
      <c r="E557" s="35" t="s">
        <v>55</v>
      </c>
      <c r="F557" s="35" t="s">
        <v>271</v>
      </c>
      <c r="G557" s="83">
        <f t="shared" si="34"/>
        <v>0</v>
      </c>
      <c r="H557" s="83"/>
      <c r="I557" s="108"/>
    </row>
    <row r="558" spans="1:9" ht="41.25">
      <c r="A558" s="53" t="s">
        <v>452</v>
      </c>
      <c r="B558" s="169" t="s">
        <v>394</v>
      </c>
      <c r="C558" s="57" t="s">
        <v>374</v>
      </c>
      <c r="D558" s="57" t="s">
        <v>142</v>
      </c>
      <c r="E558" s="57" t="s">
        <v>26</v>
      </c>
      <c r="F558" s="57" t="s">
        <v>391</v>
      </c>
      <c r="G558" s="83">
        <f t="shared" si="34"/>
        <v>188085.861</v>
      </c>
      <c r="H558" s="83">
        <f>H559</f>
        <v>0</v>
      </c>
      <c r="I558" s="83">
        <f>I559</f>
        <v>188085.861</v>
      </c>
    </row>
    <row r="559" spans="1:9" ht="41.25">
      <c r="A559" s="79" t="s">
        <v>245</v>
      </c>
      <c r="B559" s="75" t="s">
        <v>394</v>
      </c>
      <c r="C559" s="35" t="s">
        <v>374</v>
      </c>
      <c r="D559" s="35" t="s">
        <v>142</v>
      </c>
      <c r="E559" s="35" t="s">
        <v>44</v>
      </c>
      <c r="F559" s="35" t="s">
        <v>391</v>
      </c>
      <c r="G559" s="83">
        <f t="shared" si="34"/>
        <v>188085.861</v>
      </c>
      <c r="H559" s="83">
        <f>H560</f>
        <v>0</v>
      </c>
      <c r="I559" s="83">
        <f>I560</f>
        <v>188085.861</v>
      </c>
    </row>
    <row r="560" spans="1:9" ht="13.5">
      <c r="A560" s="17" t="s">
        <v>161</v>
      </c>
      <c r="B560" s="75" t="s">
        <v>394</v>
      </c>
      <c r="C560" s="35" t="s">
        <v>374</v>
      </c>
      <c r="D560" s="35" t="s">
        <v>142</v>
      </c>
      <c r="E560" s="35" t="s">
        <v>304</v>
      </c>
      <c r="F560" s="35" t="s">
        <v>391</v>
      </c>
      <c r="G560" s="83">
        <f>H560+I560</f>
        <v>188085.861</v>
      </c>
      <c r="H560" s="108">
        <f>H561+H563+H569</f>
        <v>0</v>
      </c>
      <c r="I560" s="108">
        <f>I561+I563+I566+I569</f>
        <v>188085.861</v>
      </c>
    </row>
    <row r="561" spans="1:9" ht="55.5" customHeight="1" hidden="1">
      <c r="A561" s="17" t="s">
        <v>173</v>
      </c>
      <c r="B561" s="75" t="s">
        <v>394</v>
      </c>
      <c r="C561" s="35" t="s">
        <v>374</v>
      </c>
      <c r="D561" s="35" t="s">
        <v>142</v>
      </c>
      <c r="E561" s="35" t="s">
        <v>123</v>
      </c>
      <c r="F561" s="35" t="s">
        <v>391</v>
      </c>
      <c r="G561" s="83">
        <f t="shared" si="34"/>
        <v>0</v>
      </c>
      <c r="H561" s="108">
        <f>H562</f>
        <v>0</v>
      </c>
      <c r="I561" s="108">
        <f>I562</f>
        <v>0</v>
      </c>
    </row>
    <row r="562" spans="1:9" ht="13.5" hidden="1">
      <c r="A562" s="17" t="s">
        <v>161</v>
      </c>
      <c r="B562" s="75" t="s">
        <v>394</v>
      </c>
      <c r="C562" s="35" t="s">
        <v>374</v>
      </c>
      <c r="D562" s="35" t="s">
        <v>142</v>
      </c>
      <c r="E562" s="35" t="s">
        <v>123</v>
      </c>
      <c r="F562" s="35" t="s">
        <v>356</v>
      </c>
      <c r="G562" s="83">
        <f t="shared" si="34"/>
        <v>0</v>
      </c>
      <c r="H562" s="108"/>
      <c r="I562" s="108"/>
    </row>
    <row r="563" spans="1:9" ht="54.75" customHeight="1">
      <c r="A563" s="17" t="s">
        <v>557</v>
      </c>
      <c r="B563" s="75" t="s">
        <v>394</v>
      </c>
      <c r="C563" s="35" t="s">
        <v>374</v>
      </c>
      <c r="D563" s="35" t="s">
        <v>142</v>
      </c>
      <c r="E563" s="35" t="s">
        <v>44</v>
      </c>
      <c r="F563" s="35" t="s">
        <v>391</v>
      </c>
      <c r="G563" s="83">
        <f t="shared" si="34"/>
        <v>7270.9</v>
      </c>
      <c r="H563" s="108">
        <f>H564</f>
        <v>0</v>
      </c>
      <c r="I563" s="108">
        <f>I564</f>
        <v>7270.9</v>
      </c>
    </row>
    <row r="564" spans="1:9" ht="41.25">
      <c r="A564" s="17" t="s">
        <v>203</v>
      </c>
      <c r="B564" s="21" t="s">
        <v>394</v>
      </c>
      <c r="C564" s="35" t="s">
        <v>374</v>
      </c>
      <c r="D564" s="35" t="s">
        <v>142</v>
      </c>
      <c r="E564" s="35" t="s">
        <v>558</v>
      </c>
      <c r="F564" s="35" t="s">
        <v>204</v>
      </c>
      <c r="G564" s="83">
        <f t="shared" si="34"/>
        <v>7270.9</v>
      </c>
      <c r="H564" s="83"/>
      <c r="I564" s="83">
        <f>I565</f>
        <v>7270.9</v>
      </c>
    </row>
    <row r="565" spans="1:9" ht="13.5">
      <c r="A565" s="44" t="s">
        <v>205</v>
      </c>
      <c r="B565" s="21" t="s">
        <v>394</v>
      </c>
      <c r="C565" s="35" t="s">
        <v>374</v>
      </c>
      <c r="D565" s="35" t="s">
        <v>142</v>
      </c>
      <c r="E565" s="35" t="s">
        <v>558</v>
      </c>
      <c r="F565" s="35" t="s">
        <v>271</v>
      </c>
      <c r="G565" s="83">
        <f t="shared" si="34"/>
        <v>7270.9</v>
      </c>
      <c r="H565" s="83"/>
      <c r="I565" s="83">
        <v>7270.9</v>
      </c>
    </row>
    <row r="566" spans="1:9" ht="69.75" customHeight="1">
      <c r="A566" s="53" t="s">
        <v>757</v>
      </c>
      <c r="B566" s="72" t="s">
        <v>394</v>
      </c>
      <c r="C566" s="57" t="s">
        <v>374</v>
      </c>
      <c r="D566" s="57" t="s">
        <v>142</v>
      </c>
      <c r="E566" s="57" t="s">
        <v>758</v>
      </c>
      <c r="F566" s="57" t="s">
        <v>391</v>
      </c>
      <c r="G566" s="92">
        <f>H566+I566</f>
        <v>10876.6</v>
      </c>
      <c r="H566" s="92">
        <v>0</v>
      </c>
      <c r="I566" s="92">
        <f>I567</f>
        <v>10876.6</v>
      </c>
    </row>
    <row r="567" spans="1:9" ht="41.25">
      <c r="A567" s="17" t="s">
        <v>203</v>
      </c>
      <c r="B567" s="21" t="s">
        <v>394</v>
      </c>
      <c r="C567" s="35" t="s">
        <v>374</v>
      </c>
      <c r="D567" s="35" t="s">
        <v>142</v>
      </c>
      <c r="E567" s="35" t="s">
        <v>758</v>
      </c>
      <c r="F567" s="35" t="s">
        <v>204</v>
      </c>
      <c r="G567" s="83">
        <f>H567+I567</f>
        <v>10876.6</v>
      </c>
      <c r="H567" s="83"/>
      <c r="I567" s="83">
        <f>I568</f>
        <v>10876.6</v>
      </c>
    </row>
    <row r="568" spans="1:9" ht="13.5">
      <c r="A568" s="17" t="s">
        <v>205</v>
      </c>
      <c r="B568" s="21" t="s">
        <v>394</v>
      </c>
      <c r="C568" s="35" t="s">
        <v>374</v>
      </c>
      <c r="D568" s="35" t="s">
        <v>142</v>
      </c>
      <c r="E568" s="35" t="s">
        <v>758</v>
      </c>
      <c r="F568" s="35" t="s">
        <v>271</v>
      </c>
      <c r="G568" s="83">
        <f>H568+I568</f>
        <v>10876.6</v>
      </c>
      <c r="H568" s="83"/>
      <c r="I568" s="83">
        <f>18147.5-7270.9</f>
        <v>10876.6</v>
      </c>
    </row>
    <row r="569" spans="1:9" ht="69">
      <c r="A569" s="17" t="s">
        <v>174</v>
      </c>
      <c r="B569" s="75" t="s">
        <v>394</v>
      </c>
      <c r="C569" s="35" t="s">
        <v>374</v>
      </c>
      <c r="D569" s="35" t="s">
        <v>142</v>
      </c>
      <c r="E569" s="35" t="s">
        <v>58</v>
      </c>
      <c r="F569" s="35" t="s">
        <v>391</v>
      </c>
      <c r="G569" s="83">
        <f t="shared" si="34"/>
        <v>169938.361</v>
      </c>
      <c r="H569" s="108">
        <f>H570</f>
        <v>0</v>
      </c>
      <c r="I569" s="108">
        <f>I570</f>
        <v>169938.361</v>
      </c>
    </row>
    <row r="570" spans="1:9" ht="41.25">
      <c r="A570" s="17" t="s">
        <v>203</v>
      </c>
      <c r="B570" s="75" t="s">
        <v>394</v>
      </c>
      <c r="C570" s="35" t="s">
        <v>374</v>
      </c>
      <c r="D570" s="35" t="s">
        <v>142</v>
      </c>
      <c r="E570" s="35" t="s">
        <v>58</v>
      </c>
      <c r="F570" s="35" t="s">
        <v>204</v>
      </c>
      <c r="G570" s="83">
        <f t="shared" si="34"/>
        <v>169938.361</v>
      </c>
      <c r="H570" s="108"/>
      <c r="I570" s="83">
        <f>I571</f>
        <v>169938.361</v>
      </c>
    </row>
    <row r="571" spans="1:9" ht="13.5">
      <c r="A571" s="17" t="s">
        <v>205</v>
      </c>
      <c r="B571" s="75" t="s">
        <v>394</v>
      </c>
      <c r="C571" s="35" t="s">
        <v>374</v>
      </c>
      <c r="D571" s="35" t="s">
        <v>142</v>
      </c>
      <c r="E571" s="35" t="s">
        <v>58</v>
      </c>
      <c r="F571" s="35" t="s">
        <v>271</v>
      </c>
      <c r="G571" s="83">
        <f t="shared" si="34"/>
        <v>169938.361</v>
      </c>
      <c r="H571" s="108"/>
      <c r="I571" s="83">
        <f>161257.823-3185.1+11865.638</f>
        <v>169938.361</v>
      </c>
    </row>
    <row r="572" spans="1:9" s="104" customFormat="1" ht="87" customHeight="1">
      <c r="A572" s="53" t="s">
        <v>751</v>
      </c>
      <c r="B572" s="72" t="s">
        <v>394</v>
      </c>
      <c r="C572" s="57" t="s">
        <v>374</v>
      </c>
      <c r="D572" s="57" t="s">
        <v>142</v>
      </c>
      <c r="E572" s="57" t="s">
        <v>759</v>
      </c>
      <c r="F572" s="57" t="s">
        <v>391</v>
      </c>
      <c r="G572" s="92">
        <f aca="true" t="shared" si="35" ref="G572:G577">H572+I572</f>
        <v>16614</v>
      </c>
      <c r="H572" s="92">
        <v>0</v>
      </c>
      <c r="I572" s="92">
        <f>I573</f>
        <v>16614</v>
      </c>
    </row>
    <row r="573" spans="1:9" ht="41.25">
      <c r="A573" s="17" t="s">
        <v>203</v>
      </c>
      <c r="B573" s="21" t="s">
        <v>394</v>
      </c>
      <c r="C573" s="35" t="s">
        <v>374</v>
      </c>
      <c r="D573" s="35" t="s">
        <v>142</v>
      </c>
      <c r="E573" s="35" t="s">
        <v>759</v>
      </c>
      <c r="F573" s="35" t="s">
        <v>204</v>
      </c>
      <c r="G573" s="83">
        <f t="shared" si="35"/>
        <v>16614</v>
      </c>
      <c r="H573" s="83"/>
      <c r="I573" s="83">
        <f>I574</f>
        <v>16614</v>
      </c>
    </row>
    <row r="574" spans="1:9" ht="13.5">
      <c r="A574" s="17" t="s">
        <v>205</v>
      </c>
      <c r="B574" s="21" t="s">
        <v>394</v>
      </c>
      <c r="C574" s="35" t="s">
        <v>374</v>
      </c>
      <c r="D574" s="35" t="s">
        <v>142</v>
      </c>
      <c r="E574" s="35" t="s">
        <v>759</v>
      </c>
      <c r="F574" s="35" t="s">
        <v>271</v>
      </c>
      <c r="G574" s="83">
        <f t="shared" si="35"/>
        <v>16614</v>
      </c>
      <c r="H574" s="83"/>
      <c r="I574" s="83">
        <f>12051+4563</f>
        <v>16614</v>
      </c>
    </row>
    <row r="575" spans="1:9" ht="41.25" hidden="1">
      <c r="A575" s="53" t="s">
        <v>807</v>
      </c>
      <c r="B575" s="72" t="s">
        <v>394</v>
      </c>
      <c r="C575" s="57" t="s">
        <v>374</v>
      </c>
      <c r="D575" s="57" t="s">
        <v>142</v>
      </c>
      <c r="E575" s="72" t="s">
        <v>9</v>
      </c>
      <c r="F575" s="57" t="s">
        <v>391</v>
      </c>
      <c r="G575" s="92">
        <f t="shared" si="35"/>
        <v>0</v>
      </c>
      <c r="H575" s="92">
        <f>H576</f>
        <v>0</v>
      </c>
      <c r="I575" s="92">
        <f>I576</f>
        <v>0</v>
      </c>
    </row>
    <row r="576" spans="1:9" ht="54.75" hidden="1">
      <c r="A576" s="17" t="s">
        <v>805</v>
      </c>
      <c r="B576" s="21" t="s">
        <v>394</v>
      </c>
      <c r="C576" s="35" t="s">
        <v>374</v>
      </c>
      <c r="D576" s="35" t="s">
        <v>142</v>
      </c>
      <c r="E576" s="21" t="s">
        <v>9</v>
      </c>
      <c r="F576" s="35" t="s">
        <v>204</v>
      </c>
      <c r="G576" s="83">
        <f t="shared" si="35"/>
        <v>0</v>
      </c>
      <c r="H576" s="83">
        <f>H577</f>
        <v>0</v>
      </c>
      <c r="I576" s="83">
        <f>I577</f>
        <v>0</v>
      </c>
    </row>
    <row r="577" spans="1:9" ht="13.5" hidden="1">
      <c r="A577" s="17" t="s">
        <v>205</v>
      </c>
      <c r="B577" s="21" t="s">
        <v>394</v>
      </c>
      <c r="C577" s="35" t="s">
        <v>374</v>
      </c>
      <c r="D577" s="35" t="s">
        <v>142</v>
      </c>
      <c r="E577" s="21" t="s">
        <v>9</v>
      </c>
      <c r="F577" s="35" t="s">
        <v>271</v>
      </c>
      <c r="G577" s="83">
        <f t="shared" si="35"/>
        <v>0</v>
      </c>
      <c r="H577" s="83">
        <v>0</v>
      </c>
      <c r="I577" s="83"/>
    </row>
    <row r="578" spans="1:9" ht="41.25">
      <c r="A578" s="53" t="s">
        <v>452</v>
      </c>
      <c r="B578" s="72" t="s">
        <v>394</v>
      </c>
      <c r="C578" s="57" t="s">
        <v>374</v>
      </c>
      <c r="D578" s="57" t="s">
        <v>147</v>
      </c>
      <c r="E578" s="57" t="s">
        <v>26</v>
      </c>
      <c r="F578" s="57" t="s">
        <v>391</v>
      </c>
      <c r="G578" s="92">
        <f t="shared" si="34"/>
        <v>23459.16985</v>
      </c>
      <c r="H578" s="92">
        <f>H579</f>
        <v>23459.16985</v>
      </c>
      <c r="I578" s="92">
        <f>I579</f>
        <v>0</v>
      </c>
    </row>
    <row r="579" spans="1:9" ht="33" customHeight="1">
      <c r="A579" s="79" t="s">
        <v>273</v>
      </c>
      <c r="B579" s="75" t="s">
        <v>394</v>
      </c>
      <c r="C579" s="35" t="s">
        <v>374</v>
      </c>
      <c r="D579" s="35" t="s">
        <v>147</v>
      </c>
      <c r="E579" s="35" t="s">
        <v>52</v>
      </c>
      <c r="F579" s="35" t="s">
        <v>391</v>
      </c>
      <c r="G579" s="83">
        <f t="shared" si="34"/>
        <v>23459.16985</v>
      </c>
      <c r="H579" s="108">
        <f>H580</f>
        <v>23459.16985</v>
      </c>
      <c r="I579" s="108">
        <f>I580</f>
        <v>0</v>
      </c>
    </row>
    <row r="580" spans="1:9" ht="41.25">
      <c r="A580" s="17" t="s">
        <v>203</v>
      </c>
      <c r="B580" s="75" t="s">
        <v>394</v>
      </c>
      <c r="C580" s="35" t="s">
        <v>374</v>
      </c>
      <c r="D580" s="35" t="s">
        <v>147</v>
      </c>
      <c r="E580" s="35" t="s">
        <v>53</v>
      </c>
      <c r="F580" s="35" t="s">
        <v>204</v>
      </c>
      <c r="G580" s="83">
        <f t="shared" si="34"/>
        <v>23459.16985</v>
      </c>
      <c r="H580" s="108">
        <f>H581+H583+H582+H584+H585</f>
        <v>23459.16985</v>
      </c>
      <c r="I580" s="83"/>
    </row>
    <row r="581" spans="1:9" ht="27">
      <c r="A581" s="17" t="s">
        <v>121</v>
      </c>
      <c r="B581" s="75" t="s">
        <v>394</v>
      </c>
      <c r="C581" s="35" t="s">
        <v>374</v>
      </c>
      <c r="D581" s="35" t="s">
        <v>147</v>
      </c>
      <c r="E581" s="35" t="s">
        <v>54</v>
      </c>
      <c r="F581" s="35" t="s">
        <v>271</v>
      </c>
      <c r="G581" s="83">
        <f t="shared" si="34"/>
        <v>8094.1212000000005</v>
      </c>
      <c r="H581" s="83">
        <f>3819.1+1302.2+180+1017.8+46+27.7+1003.3212+698</f>
        <v>8094.1212000000005</v>
      </c>
      <c r="I581" s="83">
        <v>0</v>
      </c>
    </row>
    <row r="582" spans="1:9" ht="48.75" customHeight="1">
      <c r="A582" s="73" t="s">
        <v>813</v>
      </c>
      <c r="B582" s="85" t="s">
        <v>394</v>
      </c>
      <c r="C582" s="71" t="s">
        <v>374</v>
      </c>
      <c r="D582" s="71" t="s">
        <v>147</v>
      </c>
      <c r="E582" s="71" t="s">
        <v>812</v>
      </c>
      <c r="F582" s="71" t="s">
        <v>271</v>
      </c>
      <c r="G582" s="86">
        <f t="shared" si="34"/>
        <v>48</v>
      </c>
      <c r="H582" s="86">
        <v>48</v>
      </c>
      <c r="I582" s="86">
        <v>0</v>
      </c>
    </row>
    <row r="583" spans="1:9" ht="27">
      <c r="A583" s="17" t="s">
        <v>837</v>
      </c>
      <c r="B583" s="75" t="s">
        <v>394</v>
      </c>
      <c r="C583" s="35" t="s">
        <v>374</v>
      </c>
      <c r="D583" s="35" t="s">
        <v>147</v>
      </c>
      <c r="E583" s="35" t="s">
        <v>55</v>
      </c>
      <c r="F583" s="35" t="s">
        <v>271</v>
      </c>
      <c r="G583" s="83">
        <f t="shared" si="34"/>
        <v>14105.28465</v>
      </c>
      <c r="H583" s="83">
        <f>8578.88+2555.1+617-220+850.5+20+503.80465+1200</f>
        <v>14105.28465</v>
      </c>
      <c r="I583" s="83">
        <v>0</v>
      </c>
    </row>
    <row r="584" spans="1:9" ht="77.25" customHeight="1">
      <c r="A584" s="17" t="s">
        <v>852</v>
      </c>
      <c r="B584" s="21" t="s">
        <v>394</v>
      </c>
      <c r="C584" s="35" t="s">
        <v>374</v>
      </c>
      <c r="D584" s="35" t="s">
        <v>147</v>
      </c>
      <c r="E584" s="35" t="s">
        <v>838</v>
      </c>
      <c r="F584" s="35" t="s">
        <v>271</v>
      </c>
      <c r="G584" s="83">
        <f>H584</f>
        <v>297</v>
      </c>
      <c r="H584" s="83">
        <f>220+46+31</f>
        <v>297</v>
      </c>
      <c r="I584" s="83"/>
    </row>
    <row r="585" spans="1:9" ht="31.5" customHeight="1">
      <c r="A585" s="77" t="s">
        <v>828</v>
      </c>
      <c r="B585" s="84" t="s">
        <v>394</v>
      </c>
      <c r="C585" s="78" t="s">
        <v>374</v>
      </c>
      <c r="D585" s="78" t="s">
        <v>147</v>
      </c>
      <c r="E585" s="78" t="s">
        <v>829</v>
      </c>
      <c r="F585" s="78" t="s">
        <v>391</v>
      </c>
      <c r="G585" s="91">
        <f aca="true" t="shared" si="36" ref="G585:G590">H585+I585</f>
        <v>914.764</v>
      </c>
      <c r="H585" s="91">
        <f>H586</f>
        <v>914.764</v>
      </c>
      <c r="I585" s="91"/>
    </row>
    <row r="586" spans="1:9" ht="45" customHeight="1">
      <c r="A586" s="74" t="s">
        <v>203</v>
      </c>
      <c r="B586" s="21" t="s">
        <v>394</v>
      </c>
      <c r="C586" s="24" t="s">
        <v>374</v>
      </c>
      <c r="D586" s="24" t="s">
        <v>147</v>
      </c>
      <c r="E586" s="24" t="s">
        <v>829</v>
      </c>
      <c r="F586" s="24" t="s">
        <v>204</v>
      </c>
      <c r="G586" s="83">
        <f t="shared" si="36"/>
        <v>914.764</v>
      </c>
      <c r="H586" s="83">
        <f>H587</f>
        <v>914.764</v>
      </c>
      <c r="I586" s="83"/>
    </row>
    <row r="587" spans="1:9" ht="21" customHeight="1">
      <c r="A587" s="74" t="s">
        <v>205</v>
      </c>
      <c r="B587" s="21" t="s">
        <v>394</v>
      </c>
      <c r="C587" s="24" t="s">
        <v>374</v>
      </c>
      <c r="D587" s="24" t="s">
        <v>147</v>
      </c>
      <c r="E587" s="24" t="s">
        <v>829</v>
      </c>
      <c r="F587" s="24" t="s">
        <v>271</v>
      </c>
      <c r="G587" s="83">
        <f t="shared" si="36"/>
        <v>914.764</v>
      </c>
      <c r="H587" s="83">
        <f>225+96.966+599.999-7.201</f>
        <v>914.764</v>
      </c>
      <c r="I587" s="83"/>
    </row>
    <row r="588" spans="1:9" ht="54" customHeight="1">
      <c r="A588" s="53" t="s">
        <v>455</v>
      </c>
      <c r="B588" s="72" t="s">
        <v>394</v>
      </c>
      <c r="C588" s="57" t="s">
        <v>374</v>
      </c>
      <c r="D588" s="57" t="s">
        <v>147</v>
      </c>
      <c r="E588" s="57" t="s">
        <v>873</v>
      </c>
      <c r="F588" s="57" t="s">
        <v>391</v>
      </c>
      <c r="G588" s="92">
        <f t="shared" si="36"/>
        <v>190.689</v>
      </c>
      <c r="H588" s="92">
        <f>H589</f>
        <v>190.689</v>
      </c>
      <c r="I588" s="92">
        <f>I589</f>
        <v>0</v>
      </c>
    </row>
    <row r="589" spans="1:9" ht="45.75" customHeight="1">
      <c r="A589" s="74" t="s">
        <v>203</v>
      </c>
      <c r="B589" s="21" t="s">
        <v>394</v>
      </c>
      <c r="C589" s="35" t="s">
        <v>374</v>
      </c>
      <c r="D589" s="35" t="s">
        <v>147</v>
      </c>
      <c r="E589" s="35" t="s">
        <v>873</v>
      </c>
      <c r="F589" s="24" t="s">
        <v>204</v>
      </c>
      <c r="G589" s="83">
        <f t="shared" si="36"/>
        <v>190.689</v>
      </c>
      <c r="H589" s="83">
        <f>H590</f>
        <v>190.689</v>
      </c>
      <c r="I589" s="83">
        <f>I590</f>
        <v>0</v>
      </c>
    </row>
    <row r="590" spans="1:9" ht="21.75" customHeight="1">
      <c r="A590" s="17" t="s">
        <v>205</v>
      </c>
      <c r="B590" s="21" t="s">
        <v>394</v>
      </c>
      <c r="C590" s="35" t="s">
        <v>374</v>
      </c>
      <c r="D590" s="35" t="s">
        <v>147</v>
      </c>
      <c r="E590" s="35" t="s">
        <v>873</v>
      </c>
      <c r="F590" s="24" t="s">
        <v>271</v>
      </c>
      <c r="G590" s="83">
        <f t="shared" si="36"/>
        <v>190.689</v>
      </c>
      <c r="H590" s="83">
        <f>25+87.5+78.189</f>
        <v>190.689</v>
      </c>
      <c r="I590" s="83">
        <v>0</v>
      </c>
    </row>
    <row r="591" spans="1:9" ht="45.75" customHeight="1">
      <c r="A591" s="53" t="s">
        <v>453</v>
      </c>
      <c r="B591" s="72" t="s">
        <v>394</v>
      </c>
      <c r="C591" s="57" t="s">
        <v>374</v>
      </c>
      <c r="D591" s="57" t="s">
        <v>371</v>
      </c>
      <c r="E591" s="57" t="s">
        <v>26</v>
      </c>
      <c r="F591" s="57" t="s">
        <v>391</v>
      </c>
      <c r="G591" s="92">
        <f t="shared" si="34"/>
        <v>42</v>
      </c>
      <c r="H591" s="92">
        <f aca="true" t="shared" si="37" ref="H591:I594">H592</f>
        <v>42</v>
      </c>
      <c r="I591" s="92">
        <f t="shared" si="37"/>
        <v>0</v>
      </c>
    </row>
    <row r="592" spans="1:9" ht="37.5" customHeight="1">
      <c r="A592" s="79" t="s">
        <v>274</v>
      </c>
      <c r="B592" s="75" t="s">
        <v>394</v>
      </c>
      <c r="C592" s="35" t="s">
        <v>374</v>
      </c>
      <c r="D592" s="35" t="s">
        <v>371</v>
      </c>
      <c r="E592" s="35" t="s">
        <v>59</v>
      </c>
      <c r="F592" s="35" t="s">
        <v>391</v>
      </c>
      <c r="G592" s="83">
        <f t="shared" si="34"/>
        <v>42</v>
      </c>
      <c r="H592" s="108">
        <f t="shared" si="37"/>
        <v>42</v>
      </c>
      <c r="I592" s="108">
        <f t="shared" si="37"/>
        <v>0</v>
      </c>
    </row>
    <row r="593" spans="1:9" ht="27">
      <c r="A593" s="17" t="s">
        <v>240</v>
      </c>
      <c r="B593" s="75" t="s">
        <v>394</v>
      </c>
      <c r="C593" s="35" t="s">
        <v>374</v>
      </c>
      <c r="D593" s="35" t="s">
        <v>371</v>
      </c>
      <c r="E593" s="35" t="s">
        <v>60</v>
      </c>
      <c r="F593" s="35" t="s">
        <v>391</v>
      </c>
      <c r="G593" s="83">
        <f t="shared" si="34"/>
        <v>42</v>
      </c>
      <c r="H593" s="108">
        <f t="shared" si="37"/>
        <v>42</v>
      </c>
      <c r="I593" s="108">
        <f t="shared" si="37"/>
        <v>0</v>
      </c>
    </row>
    <row r="594" spans="1:9" ht="41.25">
      <c r="A594" s="17" t="s">
        <v>203</v>
      </c>
      <c r="B594" s="75" t="s">
        <v>394</v>
      </c>
      <c r="C594" s="35" t="s">
        <v>374</v>
      </c>
      <c r="D594" s="35" t="s">
        <v>371</v>
      </c>
      <c r="E594" s="35" t="s">
        <v>60</v>
      </c>
      <c r="F594" s="35" t="s">
        <v>204</v>
      </c>
      <c r="G594" s="83">
        <f t="shared" si="34"/>
        <v>42</v>
      </c>
      <c r="H594" s="83">
        <f t="shared" si="37"/>
        <v>42</v>
      </c>
      <c r="I594" s="83">
        <f t="shared" si="37"/>
        <v>0</v>
      </c>
    </row>
    <row r="595" spans="1:9" ht="13.5">
      <c r="A595" s="17" t="s">
        <v>205</v>
      </c>
      <c r="B595" s="75" t="s">
        <v>394</v>
      </c>
      <c r="C595" s="35" t="s">
        <v>374</v>
      </c>
      <c r="D595" s="35" t="s">
        <v>371</v>
      </c>
      <c r="E595" s="35" t="s">
        <v>60</v>
      </c>
      <c r="F595" s="35" t="s">
        <v>271</v>
      </c>
      <c r="G595" s="83">
        <f t="shared" si="34"/>
        <v>42</v>
      </c>
      <c r="H595" s="108">
        <f>30+20-8</f>
        <v>42</v>
      </c>
      <c r="I595" s="108"/>
    </row>
    <row r="596" spans="1:9" ht="41.25">
      <c r="A596" s="53" t="s">
        <v>452</v>
      </c>
      <c r="B596" s="72" t="s">
        <v>394</v>
      </c>
      <c r="C596" s="57" t="s">
        <v>374</v>
      </c>
      <c r="D596" s="57" t="s">
        <v>374</v>
      </c>
      <c r="E596" s="57" t="s">
        <v>26</v>
      </c>
      <c r="F596" s="57" t="s">
        <v>391</v>
      </c>
      <c r="G596" s="92">
        <f t="shared" si="34"/>
        <v>817.13743</v>
      </c>
      <c r="H596" s="92">
        <f>H597+H605</f>
        <v>46.898</v>
      </c>
      <c r="I596" s="92">
        <f>I597+I605</f>
        <v>770.23943</v>
      </c>
    </row>
    <row r="597" spans="1:9" ht="33.75" customHeight="1" hidden="1">
      <c r="A597" s="79" t="s">
        <v>273</v>
      </c>
      <c r="B597" s="21" t="s">
        <v>394</v>
      </c>
      <c r="C597" s="35" t="s">
        <v>374</v>
      </c>
      <c r="D597" s="35" t="s">
        <v>374</v>
      </c>
      <c r="E597" s="35" t="s">
        <v>52</v>
      </c>
      <c r="F597" s="35" t="s">
        <v>391</v>
      </c>
      <c r="G597" s="83">
        <f aca="true" t="shared" si="38" ref="G597:G604">H597+I597</f>
        <v>0</v>
      </c>
      <c r="H597" s="83">
        <f>H598</f>
        <v>0</v>
      </c>
      <c r="I597" s="83">
        <f>I598</f>
        <v>0</v>
      </c>
    </row>
    <row r="598" spans="1:9" ht="41.25" hidden="1">
      <c r="A598" s="53" t="s">
        <v>641</v>
      </c>
      <c r="B598" s="72" t="s">
        <v>394</v>
      </c>
      <c r="C598" s="57" t="s">
        <v>374</v>
      </c>
      <c r="D598" s="57" t="s">
        <v>374</v>
      </c>
      <c r="E598" s="57" t="s">
        <v>304</v>
      </c>
      <c r="F598" s="57" t="s">
        <v>391</v>
      </c>
      <c r="G598" s="92">
        <f t="shared" si="38"/>
        <v>0</v>
      </c>
      <c r="H598" s="92">
        <f>H602</f>
        <v>0</v>
      </c>
      <c r="I598" s="92">
        <f>I599</f>
        <v>0</v>
      </c>
    </row>
    <row r="599" spans="1:9" ht="69" hidden="1">
      <c r="A599" s="17" t="s">
        <v>652</v>
      </c>
      <c r="B599" s="21" t="s">
        <v>394</v>
      </c>
      <c r="C599" s="35" t="s">
        <v>374</v>
      </c>
      <c r="D599" s="35" t="s">
        <v>374</v>
      </c>
      <c r="E599" s="35" t="s">
        <v>659</v>
      </c>
      <c r="F599" s="35" t="s">
        <v>391</v>
      </c>
      <c r="G599" s="83">
        <f t="shared" si="38"/>
        <v>0</v>
      </c>
      <c r="H599" s="83"/>
      <c r="I599" s="83">
        <f>I600</f>
        <v>0</v>
      </c>
    </row>
    <row r="600" spans="1:9" ht="41.25" hidden="1">
      <c r="A600" s="17" t="s">
        <v>203</v>
      </c>
      <c r="B600" s="21" t="s">
        <v>394</v>
      </c>
      <c r="C600" s="35" t="s">
        <v>374</v>
      </c>
      <c r="D600" s="35" t="s">
        <v>374</v>
      </c>
      <c r="E600" s="35" t="s">
        <v>659</v>
      </c>
      <c r="F600" s="35" t="s">
        <v>204</v>
      </c>
      <c r="G600" s="83">
        <f t="shared" si="38"/>
        <v>0</v>
      </c>
      <c r="H600" s="83"/>
      <c r="I600" s="83">
        <f>I601</f>
        <v>0</v>
      </c>
    </row>
    <row r="601" spans="1:9" ht="13.5" hidden="1">
      <c r="A601" s="17" t="s">
        <v>205</v>
      </c>
      <c r="B601" s="21" t="s">
        <v>394</v>
      </c>
      <c r="C601" s="35" t="s">
        <v>374</v>
      </c>
      <c r="D601" s="35" t="s">
        <v>374</v>
      </c>
      <c r="E601" s="35" t="s">
        <v>659</v>
      </c>
      <c r="F601" s="35" t="s">
        <v>271</v>
      </c>
      <c r="G601" s="83">
        <f t="shared" si="38"/>
        <v>0</v>
      </c>
      <c r="H601" s="83"/>
      <c r="I601" s="83">
        <v>0</v>
      </c>
    </row>
    <row r="602" spans="1:9" ht="82.5" hidden="1">
      <c r="A602" s="17" t="s">
        <v>653</v>
      </c>
      <c r="B602" s="21" t="s">
        <v>394</v>
      </c>
      <c r="C602" s="35" t="s">
        <v>374</v>
      </c>
      <c r="D602" s="35" t="s">
        <v>374</v>
      </c>
      <c r="E602" s="35" t="s">
        <v>710</v>
      </c>
      <c r="F602" s="35" t="s">
        <v>391</v>
      </c>
      <c r="G602" s="83">
        <f t="shared" si="38"/>
        <v>0</v>
      </c>
      <c r="H602" s="83">
        <f>H603</f>
        <v>0</v>
      </c>
      <c r="I602" s="83"/>
    </row>
    <row r="603" spans="1:9" ht="41.25" hidden="1">
      <c r="A603" s="17" t="s">
        <v>203</v>
      </c>
      <c r="B603" s="21" t="s">
        <v>394</v>
      </c>
      <c r="C603" s="35" t="s">
        <v>374</v>
      </c>
      <c r="D603" s="35" t="s">
        <v>374</v>
      </c>
      <c r="E603" s="35" t="s">
        <v>710</v>
      </c>
      <c r="F603" s="35" t="s">
        <v>204</v>
      </c>
      <c r="G603" s="83">
        <f t="shared" si="38"/>
        <v>0</v>
      </c>
      <c r="H603" s="83">
        <f>H604</f>
        <v>0</v>
      </c>
      <c r="I603" s="83"/>
    </row>
    <row r="604" spans="1:9" ht="13.5" hidden="1">
      <c r="A604" s="17" t="s">
        <v>205</v>
      </c>
      <c r="B604" s="21" t="s">
        <v>394</v>
      </c>
      <c r="C604" s="35" t="s">
        <v>374</v>
      </c>
      <c r="D604" s="35" t="s">
        <v>374</v>
      </c>
      <c r="E604" s="35" t="s">
        <v>710</v>
      </c>
      <c r="F604" s="35" t="s">
        <v>271</v>
      </c>
      <c r="G604" s="83">
        <f t="shared" si="38"/>
        <v>0</v>
      </c>
      <c r="H604" s="83">
        <v>0</v>
      </c>
      <c r="I604" s="83"/>
    </row>
    <row r="605" spans="1:9" ht="33" customHeight="1">
      <c r="A605" s="79" t="s">
        <v>441</v>
      </c>
      <c r="B605" s="21" t="s">
        <v>394</v>
      </c>
      <c r="C605" s="35" t="s">
        <v>374</v>
      </c>
      <c r="D605" s="35" t="s">
        <v>374</v>
      </c>
      <c r="E605" s="35" t="s">
        <v>61</v>
      </c>
      <c r="F605" s="35" t="s">
        <v>391</v>
      </c>
      <c r="G605" s="83">
        <f t="shared" si="34"/>
        <v>817.13743</v>
      </c>
      <c r="H605" s="83">
        <f>H606+H611</f>
        <v>46.898</v>
      </c>
      <c r="I605" s="83">
        <f>I606</f>
        <v>770.23943</v>
      </c>
    </row>
    <row r="606" spans="1:9" ht="54.75">
      <c r="A606" s="77" t="s">
        <v>707</v>
      </c>
      <c r="B606" s="171" t="s">
        <v>394</v>
      </c>
      <c r="C606" s="78" t="s">
        <v>374</v>
      </c>
      <c r="D606" s="78" t="s">
        <v>374</v>
      </c>
      <c r="E606" s="78" t="s">
        <v>61</v>
      </c>
      <c r="F606" s="78" t="s">
        <v>391</v>
      </c>
      <c r="G606" s="91">
        <f>H606+I606</f>
        <v>770.23943</v>
      </c>
      <c r="H606" s="121">
        <f>H607+H609</f>
        <v>0</v>
      </c>
      <c r="I606" s="121">
        <f>I607+I609</f>
        <v>770.23943</v>
      </c>
    </row>
    <row r="607" spans="1:9" ht="41.25">
      <c r="A607" s="44" t="s">
        <v>203</v>
      </c>
      <c r="B607" s="75" t="s">
        <v>394</v>
      </c>
      <c r="C607" s="35" t="s">
        <v>374</v>
      </c>
      <c r="D607" s="35" t="s">
        <v>374</v>
      </c>
      <c r="E607" s="35" t="s">
        <v>62</v>
      </c>
      <c r="F607" s="35" t="s">
        <v>204</v>
      </c>
      <c r="G607" s="83">
        <f>H607+I607</f>
        <v>770.23943</v>
      </c>
      <c r="H607" s="108"/>
      <c r="I607" s="108">
        <f>I608</f>
        <v>770.23943</v>
      </c>
    </row>
    <row r="608" spans="1:9" ht="13.5">
      <c r="A608" s="44" t="s">
        <v>205</v>
      </c>
      <c r="B608" s="75" t="s">
        <v>394</v>
      </c>
      <c r="C608" s="35" t="s">
        <v>374</v>
      </c>
      <c r="D608" s="35" t="s">
        <v>374</v>
      </c>
      <c r="E608" s="35" t="s">
        <v>62</v>
      </c>
      <c r="F608" s="35" t="s">
        <v>271</v>
      </c>
      <c r="G608" s="83">
        <f>H608+I608</f>
        <v>770.23943</v>
      </c>
      <c r="H608" s="108"/>
      <c r="I608" s="108">
        <f>896.82255-300+173.41688</f>
        <v>770.23943</v>
      </c>
    </row>
    <row r="609" spans="1:9" ht="41.25" hidden="1">
      <c r="A609" s="44" t="s">
        <v>203</v>
      </c>
      <c r="B609" s="75" t="s">
        <v>394</v>
      </c>
      <c r="C609" s="35" t="s">
        <v>374</v>
      </c>
      <c r="D609" s="35" t="s">
        <v>374</v>
      </c>
      <c r="E609" s="35" t="s">
        <v>62</v>
      </c>
      <c r="F609" s="35" t="s">
        <v>204</v>
      </c>
      <c r="G609" s="83">
        <f t="shared" si="34"/>
        <v>0</v>
      </c>
      <c r="H609" s="108"/>
      <c r="I609" s="108">
        <f>I610</f>
        <v>0</v>
      </c>
    </row>
    <row r="610" spans="1:9" ht="13.5" hidden="1">
      <c r="A610" s="44" t="s">
        <v>205</v>
      </c>
      <c r="B610" s="75" t="s">
        <v>394</v>
      </c>
      <c r="C610" s="35" t="s">
        <v>374</v>
      </c>
      <c r="D610" s="35" t="s">
        <v>374</v>
      </c>
      <c r="E610" s="35" t="s">
        <v>62</v>
      </c>
      <c r="F610" s="35" t="s">
        <v>271</v>
      </c>
      <c r="G610" s="83">
        <f t="shared" si="34"/>
        <v>0</v>
      </c>
      <c r="H610" s="108"/>
      <c r="I610" s="108"/>
    </row>
    <row r="611" spans="1:9" ht="54.75">
      <c r="A611" s="17" t="s">
        <v>835</v>
      </c>
      <c r="B611" s="21" t="s">
        <v>394</v>
      </c>
      <c r="C611" s="35" t="s">
        <v>374</v>
      </c>
      <c r="D611" s="35" t="s">
        <v>374</v>
      </c>
      <c r="E611" s="35" t="s">
        <v>834</v>
      </c>
      <c r="F611" s="35" t="s">
        <v>391</v>
      </c>
      <c r="G611" s="83">
        <f>H611</f>
        <v>46.898</v>
      </c>
      <c r="H611" s="83">
        <f>H612</f>
        <v>46.898</v>
      </c>
      <c r="I611" s="83"/>
    </row>
    <row r="612" spans="1:9" ht="41.25">
      <c r="A612" s="44" t="s">
        <v>203</v>
      </c>
      <c r="B612" s="21" t="s">
        <v>394</v>
      </c>
      <c r="C612" s="35" t="s">
        <v>374</v>
      </c>
      <c r="D612" s="35" t="s">
        <v>374</v>
      </c>
      <c r="E612" s="35" t="s">
        <v>834</v>
      </c>
      <c r="F612" s="35" t="s">
        <v>204</v>
      </c>
      <c r="G612" s="83">
        <f>H612</f>
        <v>46.898</v>
      </c>
      <c r="H612" s="83">
        <f>H613</f>
        <v>46.898</v>
      </c>
      <c r="I612" s="83"/>
    </row>
    <row r="613" spans="1:9" ht="13.5">
      <c r="A613" s="44" t="s">
        <v>205</v>
      </c>
      <c r="B613" s="21" t="s">
        <v>394</v>
      </c>
      <c r="C613" s="35" t="s">
        <v>374</v>
      </c>
      <c r="D613" s="35" t="s">
        <v>374</v>
      </c>
      <c r="E613" s="35" t="s">
        <v>834</v>
      </c>
      <c r="F613" s="35" t="s">
        <v>271</v>
      </c>
      <c r="G613" s="83">
        <f>H613</f>
        <v>46.898</v>
      </c>
      <c r="H613" s="83">
        <v>46.898</v>
      </c>
      <c r="I613" s="83"/>
    </row>
    <row r="614" spans="1:9" ht="18" customHeight="1">
      <c r="A614" s="77" t="s">
        <v>350</v>
      </c>
      <c r="B614" s="171" t="s">
        <v>394</v>
      </c>
      <c r="C614" s="78" t="s">
        <v>374</v>
      </c>
      <c r="D614" s="78" t="s">
        <v>359</v>
      </c>
      <c r="E614" s="78" t="s">
        <v>304</v>
      </c>
      <c r="F614" s="78" t="s">
        <v>391</v>
      </c>
      <c r="G614" s="91">
        <f>H614+I614</f>
        <v>48771.89128</v>
      </c>
      <c r="H614" s="121">
        <f>H615+H630+H636+H640+H645+H650</f>
        <v>48771.89128</v>
      </c>
      <c r="I614" s="121">
        <f>I615</f>
        <v>0</v>
      </c>
    </row>
    <row r="615" spans="1:9" ht="41.25">
      <c r="A615" s="53" t="s">
        <v>452</v>
      </c>
      <c r="B615" s="169" t="s">
        <v>394</v>
      </c>
      <c r="C615" s="57" t="s">
        <v>374</v>
      </c>
      <c r="D615" s="57" t="s">
        <v>359</v>
      </c>
      <c r="E615" s="57" t="s">
        <v>26</v>
      </c>
      <c r="F615" s="57" t="s">
        <v>391</v>
      </c>
      <c r="G615" s="92">
        <f t="shared" si="34"/>
        <v>44848.80118</v>
      </c>
      <c r="H615" s="120">
        <f>H616</f>
        <v>44848.80118</v>
      </c>
      <c r="I615" s="120"/>
    </row>
    <row r="616" spans="1:10" ht="31.5" customHeight="1">
      <c r="A616" s="79" t="s">
        <v>246</v>
      </c>
      <c r="B616" s="75" t="s">
        <v>394</v>
      </c>
      <c r="C616" s="35" t="s">
        <v>374</v>
      </c>
      <c r="D616" s="35" t="s">
        <v>359</v>
      </c>
      <c r="E616" s="35" t="s">
        <v>64</v>
      </c>
      <c r="F616" s="35" t="s">
        <v>391</v>
      </c>
      <c r="G616" s="83">
        <f t="shared" si="34"/>
        <v>44848.80118</v>
      </c>
      <c r="H616" s="108">
        <f>H617+H625</f>
        <v>44848.80118</v>
      </c>
      <c r="I616" s="108"/>
      <c r="J616" s="49"/>
    </row>
    <row r="617" spans="1:9" ht="54.75" customHeight="1">
      <c r="A617" s="17" t="s">
        <v>241</v>
      </c>
      <c r="B617" s="75" t="s">
        <v>394</v>
      </c>
      <c r="C617" s="35" t="s">
        <v>374</v>
      </c>
      <c r="D617" s="35" t="s">
        <v>359</v>
      </c>
      <c r="E617" s="35" t="s">
        <v>64</v>
      </c>
      <c r="F617" s="35" t="s">
        <v>391</v>
      </c>
      <c r="G617" s="83">
        <f t="shared" si="34"/>
        <v>41987.73</v>
      </c>
      <c r="H617" s="108">
        <f>H618+H620+H622</f>
        <v>41987.73</v>
      </c>
      <c r="I617" s="108">
        <f>I618+I620+I622</f>
        <v>0</v>
      </c>
    </row>
    <row r="618" spans="1:9" ht="81" customHeight="1">
      <c r="A618" s="17" t="s">
        <v>177</v>
      </c>
      <c r="B618" s="75" t="s">
        <v>394</v>
      </c>
      <c r="C618" s="35" t="s">
        <v>374</v>
      </c>
      <c r="D618" s="35" t="s">
        <v>359</v>
      </c>
      <c r="E618" s="35" t="s">
        <v>64</v>
      </c>
      <c r="F618" s="35" t="s">
        <v>145</v>
      </c>
      <c r="G618" s="83">
        <f t="shared" si="34"/>
        <v>35670.63</v>
      </c>
      <c r="H618" s="108">
        <f>H619</f>
        <v>35670.63</v>
      </c>
      <c r="I618" s="108">
        <f>I619</f>
        <v>0</v>
      </c>
    </row>
    <row r="619" spans="1:10" ht="27">
      <c r="A619" s="17" t="s">
        <v>193</v>
      </c>
      <c r="B619" s="75" t="s">
        <v>394</v>
      </c>
      <c r="C619" s="35" t="s">
        <v>374</v>
      </c>
      <c r="D619" s="35" t="s">
        <v>359</v>
      </c>
      <c r="E619" s="35" t="s">
        <v>64</v>
      </c>
      <c r="F619" s="35" t="s">
        <v>152</v>
      </c>
      <c r="G619" s="83">
        <f>H619+I619</f>
        <v>35670.63</v>
      </c>
      <c r="H619" s="83">
        <f>34785.63+20+865</f>
        <v>35670.63</v>
      </c>
      <c r="I619" s="108"/>
      <c r="J619" s="82"/>
    </row>
    <row r="620" spans="1:9" ht="27">
      <c r="A620" s="17" t="s">
        <v>180</v>
      </c>
      <c r="B620" s="75" t="s">
        <v>394</v>
      </c>
      <c r="C620" s="35" t="s">
        <v>374</v>
      </c>
      <c r="D620" s="35" t="s">
        <v>359</v>
      </c>
      <c r="E620" s="35" t="s">
        <v>64</v>
      </c>
      <c r="F620" s="35" t="s">
        <v>149</v>
      </c>
      <c r="G620" s="83">
        <f>H620+I620</f>
        <v>5978.472000000009</v>
      </c>
      <c r="H620" s="83">
        <f>H621</f>
        <v>5978.472000000009</v>
      </c>
      <c r="I620" s="108">
        <f>I621</f>
        <v>0</v>
      </c>
    </row>
    <row r="621" spans="1:10" ht="41.25">
      <c r="A621" s="44" t="s">
        <v>181</v>
      </c>
      <c r="B621" s="21" t="s">
        <v>394</v>
      </c>
      <c r="C621" s="35" t="s">
        <v>374</v>
      </c>
      <c r="D621" s="35" t="s">
        <v>359</v>
      </c>
      <c r="E621" s="35" t="s">
        <v>64</v>
      </c>
      <c r="F621" s="35" t="s">
        <v>182</v>
      </c>
      <c r="G621" s="83">
        <f>H621+I621</f>
        <v>5978.472000000009</v>
      </c>
      <c r="H621" s="83">
        <f>40712.73-89.2-34785.63-49.428-20+210</f>
        <v>5978.472000000009</v>
      </c>
      <c r="I621" s="108"/>
      <c r="J621" s="82"/>
    </row>
    <row r="622" spans="1:9" ht="13.5">
      <c r="A622" s="17" t="s">
        <v>185</v>
      </c>
      <c r="B622" s="21" t="s">
        <v>394</v>
      </c>
      <c r="C622" s="35" t="s">
        <v>374</v>
      </c>
      <c r="D622" s="35" t="s">
        <v>359</v>
      </c>
      <c r="E622" s="35" t="s">
        <v>64</v>
      </c>
      <c r="F622" s="35" t="s">
        <v>186</v>
      </c>
      <c r="G622" s="83">
        <f>H622+I622</f>
        <v>338.628</v>
      </c>
      <c r="H622" s="83">
        <f>H623+H624</f>
        <v>338.628</v>
      </c>
      <c r="I622" s="108">
        <f>I624</f>
        <v>0</v>
      </c>
    </row>
    <row r="623" spans="1:9" ht="13.5" hidden="1">
      <c r="A623" s="17" t="s">
        <v>189</v>
      </c>
      <c r="B623" s="21" t="s">
        <v>394</v>
      </c>
      <c r="C623" s="35" t="s">
        <v>374</v>
      </c>
      <c r="D623" s="35" t="s">
        <v>359</v>
      </c>
      <c r="E623" s="35" t="s">
        <v>64</v>
      </c>
      <c r="F623" s="35" t="s">
        <v>190</v>
      </c>
      <c r="G623" s="83">
        <f>H623</f>
        <v>0</v>
      </c>
      <c r="H623" s="83"/>
      <c r="I623" s="108"/>
    </row>
    <row r="624" spans="1:9" ht="13.5">
      <c r="A624" s="17" t="s">
        <v>183</v>
      </c>
      <c r="B624" s="21" t="s">
        <v>394</v>
      </c>
      <c r="C624" s="35" t="s">
        <v>374</v>
      </c>
      <c r="D624" s="35" t="s">
        <v>359</v>
      </c>
      <c r="E624" s="35" t="s">
        <v>64</v>
      </c>
      <c r="F624" s="35" t="s">
        <v>184</v>
      </c>
      <c r="G624" s="83">
        <f>H624+I624</f>
        <v>338.628</v>
      </c>
      <c r="H624" s="83">
        <f>89.2+200+49.428</f>
        <v>338.628</v>
      </c>
      <c r="I624" s="108"/>
    </row>
    <row r="625" spans="1:9" ht="63" customHeight="1">
      <c r="A625" s="79" t="s">
        <v>517</v>
      </c>
      <c r="B625" s="21" t="s">
        <v>394</v>
      </c>
      <c r="C625" s="35" t="s">
        <v>374</v>
      </c>
      <c r="D625" s="35" t="s">
        <v>359</v>
      </c>
      <c r="E625" s="35" t="s">
        <v>64</v>
      </c>
      <c r="F625" s="35" t="s">
        <v>391</v>
      </c>
      <c r="G625" s="83">
        <f>H625</f>
        <v>2861.0711800000004</v>
      </c>
      <c r="H625" s="83">
        <f>H626+H628</f>
        <v>2861.0711800000004</v>
      </c>
      <c r="I625" s="83"/>
    </row>
    <row r="626" spans="1:9" ht="73.5" customHeight="1">
      <c r="A626" s="17" t="s">
        <v>177</v>
      </c>
      <c r="B626" s="21" t="s">
        <v>394</v>
      </c>
      <c r="C626" s="35" t="s">
        <v>374</v>
      </c>
      <c r="D626" s="35" t="s">
        <v>359</v>
      </c>
      <c r="E626" s="35" t="s">
        <v>64</v>
      </c>
      <c r="F626" s="35" t="s">
        <v>145</v>
      </c>
      <c r="G626" s="83">
        <f>H626</f>
        <v>2843.7231800000004</v>
      </c>
      <c r="H626" s="83">
        <f>H627</f>
        <v>2843.7231800000004</v>
      </c>
      <c r="I626" s="83"/>
    </row>
    <row r="627" spans="1:10" ht="27">
      <c r="A627" s="17" t="s">
        <v>193</v>
      </c>
      <c r="B627" s="21" t="s">
        <v>394</v>
      </c>
      <c r="C627" s="35" t="s">
        <v>374</v>
      </c>
      <c r="D627" s="35" t="s">
        <v>359</v>
      </c>
      <c r="E627" s="35" t="s">
        <v>64</v>
      </c>
      <c r="F627" s="35" t="s">
        <v>152</v>
      </c>
      <c r="G627" s="83">
        <f>H627</f>
        <v>2843.7231800000004</v>
      </c>
      <c r="H627" s="83">
        <f>2969.457+32-142.44476-10.095-43.60257+26.33336+12.07515</f>
        <v>2843.7231800000004</v>
      </c>
      <c r="I627" s="83"/>
      <c r="J627" s="183"/>
    </row>
    <row r="628" spans="1:9" ht="27">
      <c r="A628" s="17" t="s">
        <v>180</v>
      </c>
      <c r="B628" s="21" t="s">
        <v>394</v>
      </c>
      <c r="C628" s="35" t="s">
        <v>374</v>
      </c>
      <c r="D628" s="35" t="s">
        <v>359</v>
      </c>
      <c r="E628" s="35" t="s">
        <v>64</v>
      </c>
      <c r="F628" s="35" t="s">
        <v>149</v>
      </c>
      <c r="G628" s="83">
        <f>H628</f>
        <v>17.348</v>
      </c>
      <c r="H628" s="83">
        <f>H629</f>
        <v>17.348</v>
      </c>
      <c r="I628" s="83"/>
    </row>
    <row r="629" spans="1:9" ht="41.25">
      <c r="A629" s="44" t="s">
        <v>181</v>
      </c>
      <c r="B629" s="21" t="s">
        <v>394</v>
      </c>
      <c r="C629" s="35" t="s">
        <v>374</v>
      </c>
      <c r="D629" s="35" t="s">
        <v>359</v>
      </c>
      <c r="E629" s="35" t="s">
        <v>64</v>
      </c>
      <c r="F629" s="35" t="s">
        <v>182</v>
      </c>
      <c r="G629" s="83">
        <f>H629</f>
        <v>17.348</v>
      </c>
      <c r="H629" s="83">
        <f>90-32-10-30.652</f>
        <v>17.348</v>
      </c>
      <c r="I629" s="83"/>
    </row>
    <row r="630" spans="1:9" ht="54.75">
      <c r="A630" s="53" t="s">
        <v>454</v>
      </c>
      <c r="B630" s="169" t="s">
        <v>394</v>
      </c>
      <c r="C630" s="57" t="s">
        <v>374</v>
      </c>
      <c r="D630" s="57" t="s">
        <v>359</v>
      </c>
      <c r="E630" s="57" t="s">
        <v>66</v>
      </c>
      <c r="F630" s="57" t="s">
        <v>391</v>
      </c>
      <c r="G630" s="92">
        <f aca="true" t="shared" si="39" ref="G630:G642">H630+I630</f>
        <v>569.0791</v>
      </c>
      <c r="H630" s="92">
        <f>H631+H634</f>
        <v>569.0791</v>
      </c>
      <c r="I630" s="120">
        <f>I631+I634</f>
        <v>0</v>
      </c>
    </row>
    <row r="631" spans="1:9" ht="13.5">
      <c r="A631" s="17" t="s">
        <v>383</v>
      </c>
      <c r="B631" s="75" t="s">
        <v>394</v>
      </c>
      <c r="C631" s="35" t="s">
        <v>374</v>
      </c>
      <c r="D631" s="35" t="s">
        <v>359</v>
      </c>
      <c r="E631" s="35" t="s">
        <v>67</v>
      </c>
      <c r="F631" s="35" t="s">
        <v>391</v>
      </c>
      <c r="G631" s="83">
        <f t="shared" si="39"/>
        <v>380</v>
      </c>
      <c r="H631" s="108">
        <f>H632</f>
        <v>380</v>
      </c>
      <c r="I631" s="108">
        <f>I632</f>
        <v>0</v>
      </c>
    </row>
    <row r="632" spans="1:9" ht="27">
      <c r="A632" s="17" t="s">
        <v>180</v>
      </c>
      <c r="B632" s="75" t="s">
        <v>394</v>
      </c>
      <c r="C632" s="35" t="s">
        <v>374</v>
      </c>
      <c r="D632" s="35" t="s">
        <v>359</v>
      </c>
      <c r="E632" s="35" t="s">
        <v>67</v>
      </c>
      <c r="F632" s="35" t="s">
        <v>149</v>
      </c>
      <c r="G632" s="83">
        <f t="shared" si="39"/>
        <v>380</v>
      </c>
      <c r="H632" s="108">
        <f>H633</f>
        <v>380</v>
      </c>
      <c r="I632" s="108">
        <f>I633</f>
        <v>0</v>
      </c>
    </row>
    <row r="633" spans="1:9" ht="41.25">
      <c r="A633" s="44" t="s">
        <v>181</v>
      </c>
      <c r="B633" s="75" t="s">
        <v>394</v>
      </c>
      <c r="C633" s="35" t="s">
        <v>374</v>
      </c>
      <c r="D633" s="35" t="s">
        <v>359</v>
      </c>
      <c r="E633" s="35" t="s">
        <v>68</v>
      </c>
      <c r="F633" s="35" t="s">
        <v>182</v>
      </c>
      <c r="G633" s="83">
        <f t="shared" si="39"/>
        <v>380</v>
      </c>
      <c r="H633" s="108">
        <f>380</f>
        <v>380</v>
      </c>
      <c r="I633" s="108"/>
    </row>
    <row r="634" spans="1:9" ht="41.25">
      <c r="A634" s="17" t="s">
        <v>203</v>
      </c>
      <c r="B634" s="75" t="s">
        <v>394</v>
      </c>
      <c r="C634" s="35" t="s">
        <v>374</v>
      </c>
      <c r="D634" s="35" t="s">
        <v>359</v>
      </c>
      <c r="E634" s="35" t="s">
        <v>67</v>
      </c>
      <c r="F634" s="35" t="s">
        <v>204</v>
      </c>
      <c r="G634" s="83">
        <f t="shared" si="39"/>
        <v>189.0791</v>
      </c>
      <c r="H634" s="108">
        <f>H635</f>
        <v>189.0791</v>
      </c>
      <c r="I634" s="108">
        <f>I635</f>
        <v>0</v>
      </c>
    </row>
    <row r="635" spans="1:9" ht="27">
      <c r="A635" s="17" t="s">
        <v>126</v>
      </c>
      <c r="B635" s="75" t="s">
        <v>394</v>
      </c>
      <c r="C635" s="35" t="s">
        <v>374</v>
      </c>
      <c r="D635" s="35" t="s">
        <v>359</v>
      </c>
      <c r="E635" s="35" t="s">
        <v>69</v>
      </c>
      <c r="F635" s="35" t="s">
        <v>271</v>
      </c>
      <c r="G635" s="83">
        <f t="shared" si="39"/>
        <v>189.0791</v>
      </c>
      <c r="H635" s="108">
        <f>218-28.9209</f>
        <v>189.0791</v>
      </c>
      <c r="I635" s="108"/>
    </row>
    <row r="636" spans="1:9" ht="45" customHeight="1">
      <c r="A636" s="53" t="s">
        <v>455</v>
      </c>
      <c r="B636" s="169" t="s">
        <v>394</v>
      </c>
      <c r="C636" s="57" t="s">
        <v>374</v>
      </c>
      <c r="D636" s="57" t="s">
        <v>359</v>
      </c>
      <c r="E636" s="57" t="s">
        <v>33</v>
      </c>
      <c r="F636" s="57" t="s">
        <v>391</v>
      </c>
      <c r="G636" s="92">
        <f t="shared" si="39"/>
        <v>1933.311</v>
      </c>
      <c r="H636" s="120">
        <f>H637</f>
        <v>1933.311</v>
      </c>
      <c r="I636" s="120">
        <f aca="true" t="shared" si="40" ref="H636:I638">I637</f>
        <v>0</v>
      </c>
    </row>
    <row r="637" spans="1:9" ht="13.5">
      <c r="A637" s="17" t="s">
        <v>383</v>
      </c>
      <c r="B637" s="75" t="s">
        <v>394</v>
      </c>
      <c r="C637" s="35" t="s">
        <v>374</v>
      </c>
      <c r="D637" s="35" t="s">
        <v>359</v>
      </c>
      <c r="E637" s="35" t="s">
        <v>34</v>
      </c>
      <c r="F637" s="35" t="s">
        <v>391</v>
      </c>
      <c r="G637" s="83">
        <f t="shared" si="39"/>
        <v>1933.311</v>
      </c>
      <c r="H637" s="108">
        <f>H638+H643</f>
        <v>1933.311</v>
      </c>
      <c r="I637" s="108">
        <f>I638</f>
        <v>0</v>
      </c>
    </row>
    <row r="638" spans="1:9" ht="27">
      <c r="A638" s="17" t="s">
        <v>180</v>
      </c>
      <c r="B638" s="75" t="s">
        <v>394</v>
      </c>
      <c r="C638" s="35" t="s">
        <v>374</v>
      </c>
      <c r="D638" s="35" t="s">
        <v>359</v>
      </c>
      <c r="E638" s="35" t="s">
        <v>70</v>
      </c>
      <c r="F638" s="35" t="s">
        <v>149</v>
      </c>
      <c r="G638" s="83">
        <f t="shared" si="39"/>
        <v>4</v>
      </c>
      <c r="H638" s="83">
        <f t="shared" si="40"/>
        <v>4</v>
      </c>
      <c r="I638" s="83">
        <f t="shared" si="40"/>
        <v>0</v>
      </c>
    </row>
    <row r="639" spans="1:9" ht="41.25">
      <c r="A639" s="44" t="s">
        <v>181</v>
      </c>
      <c r="B639" s="75" t="s">
        <v>394</v>
      </c>
      <c r="C639" s="35" t="s">
        <v>374</v>
      </c>
      <c r="D639" s="35" t="s">
        <v>359</v>
      </c>
      <c r="E639" s="35" t="s">
        <v>70</v>
      </c>
      <c r="F639" s="35" t="s">
        <v>182</v>
      </c>
      <c r="G639" s="83">
        <f t="shared" si="39"/>
        <v>4</v>
      </c>
      <c r="H639" s="83">
        <f>134-130</f>
        <v>4</v>
      </c>
      <c r="I639" s="83"/>
    </row>
    <row r="640" spans="1:9" ht="45" customHeight="1" hidden="1">
      <c r="A640" s="53" t="s">
        <v>269</v>
      </c>
      <c r="B640" s="75" t="s">
        <v>394</v>
      </c>
      <c r="C640" s="35" t="s">
        <v>374</v>
      </c>
      <c r="D640" s="35" t="s">
        <v>359</v>
      </c>
      <c r="E640" s="35" t="s">
        <v>70</v>
      </c>
      <c r="F640" s="57" t="s">
        <v>391</v>
      </c>
      <c r="G640" s="92">
        <f t="shared" si="39"/>
        <v>0</v>
      </c>
      <c r="H640" s="92">
        <f>H641</f>
        <v>0</v>
      </c>
      <c r="I640" s="92"/>
    </row>
    <row r="641" spans="1:9" ht="27" hidden="1">
      <c r="A641" s="17" t="s">
        <v>180</v>
      </c>
      <c r="B641" s="75" t="s">
        <v>394</v>
      </c>
      <c r="C641" s="35" t="s">
        <v>374</v>
      </c>
      <c r="D641" s="35" t="s">
        <v>359</v>
      </c>
      <c r="E641" s="35" t="s">
        <v>70</v>
      </c>
      <c r="F641" s="24" t="s">
        <v>149</v>
      </c>
      <c r="G641" s="108">
        <f t="shared" si="39"/>
        <v>0</v>
      </c>
      <c r="H641" s="108">
        <f>H642</f>
        <v>0</v>
      </c>
      <c r="I641" s="83"/>
    </row>
    <row r="642" spans="1:9" ht="41.25" hidden="1">
      <c r="A642" s="44" t="s">
        <v>181</v>
      </c>
      <c r="B642" s="75" t="s">
        <v>394</v>
      </c>
      <c r="C642" s="35" t="s">
        <v>374</v>
      </c>
      <c r="D642" s="35" t="s">
        <v>359</v>
      </c>
      <c r="E642" s="35" t="s">
        <v>70</v>
      </c>
      <c r="F642" s="24" t="s">
        <v>182</v>
      </c>
      <c r="G642" s="108">
        <f t="shared" si="39"/>
        <v>0</v>
      </c>
      <c r="H642" s="108"/>
      <c r="I642" s="83"/>
    </row>
    <row r="643" spans="1:9" ht="41.25">
      <c r="A643" s="17" t="s">
        <v>203</v>
      </c>
      <c r="B643" s="75" t="s">
        <v>394</v>
      </c>
      <c r="C643" s="35" t="s">
        <v>374</v>
      </c>
      <c r="D643" s="35" t="s">
        <v>359</v>
      </c>
      <c r="E643" s="35" t="s">
        <v>70</v>
      </c>
      <c r="F643" s="24" t="s">
        <v>204</v>
      </c>
      <c r="G643" s="108">
        <f>H643</f>
        <v>1929.311</v>
      </c>
      <c r="H643" s="108">
        <f>H644</f>
        <v>1929.311</v>
      </c>
      <c r="I643" s="83"/>
    </row>
    <row r="644" spans="1:9" ht="13.5">
      <c r="A644" s="17" t="s">
        <v>205</v>
      </c>
      <c r="B644" s="75" t="s">
        <v>394</v>
      </c>
      <c r="C644" s="35" t="s">
        <v>374</v>
      </c>
      <c r="D644" s="35" t="s">
        <v>359</v>
      </c>
      <c r="E644" s="35" t="s">
        <v>70</v>
      </c>
      <c r="F644" s="24" t="s">
        <v>271</v>
      </c>
      <c r="G644" s="108">
        <f>H644</f>
        <v>1929.311</v>
      </c>
      <c r="H644" s="108">
        <f>2000+120-112.5-78.189</f>
        <v>1929.311</v>
      </c>
      <c r="I644" s="83"/>
    </row>
    <row r="645" spans="1:9" ht="70.5" customHeight="1">
      <c r="A645" s="54" t="s">
        <v>506</v>
      </c>
      <c r="B645" s="72" t="s">
        <v>394</v>
      </c>
      <c r="C645" s="57" t="s">
        <v>374</v>
      </c>
      <c r="D645" s="57" t="s">
        <v>359</v>
      </c>
      <c r="E645" s="57" t="s">
        <v>304</v>
      </c>
      <c r="F645" s="57" t="s">
        <v>391</v>
      </c>
      <c r="G645" s="92">
        <f>H645+I645</f>
        <v>1103.2</v>
      </c>
      <c r="H645" s="92">
        <f>H646+H648</f>
        <v>1103.2</v>
      </c>
      <c r="I645" s="92"/>
    </row>
    <row r="646" spans="1:9" ht="34.5" customHeight="1">
      <c r="A646" s="17" t="s">
        <v>180</v>
      </c>
      <c r="B646" s="21" t="s">
        <v>394</v>
      </c>
      <c r="C646" s="35" t="s">
        <v>374</v>
      </c>
      <c r="D646" s="35" t="s">
        <v>359</v>
      </c>
      <c r="E646" s="35" t="s">
        <v>833</v>
      </c>
      <c r="F646" s="35" t="s">
        <v>149</v>
      </c>
      <c r="G646" s="83">
        <f>H646</f>
        <v>158</v>
      </c>
      <c r="H646" s="83">
        <f>H647</f>
        <v>158</v>
      </c>
      <c r="I646" s="83"/>
    </row>
    <row r="647" spans="1:9" ht="45.75" customHeight="1">
      <c r="A647" s="44" t="s">
        <v>181</v>
      </c>
      <c r="B647" s="21" t="s">
        <v>394</v>
      </c>
      <c r="C647" s="35" t="s">
        <v>374</v>
      </c>
      <c r="D647" s="35" t="s">
        <v>359</v>
      </c>
      <c r="E647" s="35" t="s">
        <v>833</v>
      </c>
      <c r="F647" s="35" t="s">
        <v>182</v>
      </c>
      <c r="G647" s="83">
        <f>H647</f>
        <v>158</v>
      </c>
      <c r="H647" s="83">
        <v>158</v>
      </c>
      <c r="I647" s="83"/>
    </row>
    <row r="648" spans="1:9" ht="42" customHeight="1">
      <c r="A648" s="17" t="s">
        <v>203</v>
      </c>
      <c r="B648" s="75" t="s">
        <v>394</v>
      </c>
      <c r="C648" s="24" t="s">
        <v>374</v>
      </c>
      <c r="D648" s="24" t="s">
        <v>359</v>
      </c>
      <c r="E648" s="35" t="s">
        <v>505</v>
      </c>
      <c r="F648" s="35" t="s">
        <v>204</v>
      </c>
      <c r="G648" s="108">
        <f>H648+I648</f>
        <v>945.2</v>
      </c>
      <c r="H648" s="108">
        <f>H649</f>
        <v>945.2</v>
      </c>
      <c r="I648" s="83"/>
    </row>
    <row r="649" spans="1:9" ht="28.5" customHeight="1">
      <c r="A649" s="17" t="s">
        <v>126</v>
      </c>
      <c r="B649" s="75" t="s">
        <v>394</v>
      </c>
      <c r="C649" s="24" t="s">
        <v>374</v>
      </c>
      <c r="D649" s="24" t="s">
        <v>359</v>
      </c>
      <c r="E649" s="35" t="s">
        <v>505</v>
      </c>
      <c r="F649" s="35" t="s">
        <v>271</v>
      </c>
      <c r="G649" s="108">
        <f>H649+I649</f>
        <v>945.2</v>
      </c>
      <c r="H649" s="108">
        <f>1215-61.8-50-158</f>
        <v>945.2</v>
      </c>
      <c r="I649" s="83"/>
    </row>
    <row r="650" spans="1:9" ht="28.5" customHeight="1">
      <c r="A650" s="99" t="s">
        <v>143</v>
      </c>
      <c r="B650" s="75" t="s">
        <v>394</v>
      </c>
      <c r="C650" s="24" t="s">
        <v>374</v>
      </c>
      <c r="D650" s="24" t="s">
        <v>359</v>
      </c>
      <c r="E650" s="24" t="s">
        <v>8</v>
      </c>
      <c r="F650" s="24" t="s">
        <v>391</v>
      </c>
      <c r="G650" s="108">
        <f>H650</f>
        <v>317.5</v>
      </c>
      <c r="H650" s="108">
        <f>H651</f>
        <v>317.5</v>
      </c>
      <c r="I650" s="108"/>
    </row>
    <row r="651" spans="1:9" ht="42" customHeight="1">
      <c r="A651" s="74" t="s">
        <v>144</v>
      </c>
      <c r="B651" s="75" t="s">
        <v>394</v>
      </c>
      <c r="C651" s="24" t="s">
        <v>374</v>
      </c>
      <c r="D651" s="24" t="s">
        <v>359</v>
      </c>
      <c r="E651" s="24" t="s">
        <v>9</v>
      </c>
      <c r="F651" s="24" t="s">
        <v>391</v>
      </c>
      <c r="G651" s="108">
        <f>H651</f>
        <v>317.5</v>
      </c>
      <c r="H651" s="108">
        <f>H652</f>
        <v>317.5</v>
      </c>
      <c r="I651" s="108"/>
    </row>
    <row r="652" spans="1:9" ht="15.75" customHeight="1">
      <c r="A652" s="76" t="s">
        <v>830</v>
      </c>
      <c r="B652" s="75" t="s">
        <v>394</v>
      </c>
      <c r="C652" s="24" t="s">
        <v>374</v>
      </c>
      <c r="D652" s="24" t="s">
        <v>359</v>
      </c>
      <c r="E652" s="24" t="s">
        <v>831</v>
      </c>
      <c r="F652" s="24" t="s">
        <v>391</v>
      </c>
      <c r="G652" s="108">
        <f>H652</f>
        <v>317.5</v>
      </c>
      <c r="H652" s="108">
        <f>H653</f>
        <v>317.5</v>
      </c>
      <c r="I652" s="108"/>
    </row>
    <row r="653" spans="1:9" ht="28.5" customHeight="1">
      <c r="A653" s="74" t="s">
        <v>180</v>
      </c>
      <c r="B653" s="75" t="s">
        <v>394</v>
      </c>
      <c r="C653" s="24" t="s">
        <v>374</v>
      </c>
      <c r="D653" s="24" t="s">
        <v>359</v>
      </c>
      <c r="E653" s="24" t="s">
        <v>831</v>
      </c>
      <c r="F653" s="24" t="s">
        <v>149</v>
      </c>
      <c r="G653" s="108">
        <f>H653</f>
        <v>317.5</v>
      </c>
      <c r="H653" s="108">
        <f>H654</f>
        <v>317.5</v>
      </c>
      <c r="I653" s="108"/>
    </row>
    <row r="654" spans="1:9" ht="28.5" customHeight="1">
      <c r="A654" s="76" t="s">
        <v>181</v>
      </c>
      <c r="B654" s="75" t="s">
        <v>394</v>
      </c>
      <c r="C654" s="24" t="s">
        <v>374</v>
      </c>
      <c r="D654" s="24" t="s">
        <v>359</v>
      </c>
      <c r="E654" s="24" t="s">
        <v>831</v>
      </c>
      <c r="F654" s="24" t="s">
        <v>182</v>
      </c>
      <c r="G654" s="108">
        <f>H654</f>
        <v>317.5</v>
      </c>
      <c r="H654" s="108">
        <f>287.5+30</f>
        <v>317.5</v>
      </c>
      <c r="I654" s="108"/>
    </row>
    <row r="655" spans="1:9" ht="13.5">
      <c r="A655" s="77" t="s">
        <v>212</v>
      </c>
      <c r="B655" s="171" t="s">
        <v>394</v>
      </c>
      <c r="C655" s="78" t="s">
        <v>213</v>
      </c>
      <c r="D655" s="78" t="s">
        <v>141</v>
      </c>
      <c r="E655" s="78" t="s">
        <v>304</v>
      </c>
      <c r="F655" s="78" t="s">
        <v>391</v>
      </c>
      <c r="G655" s="91">
        <f>H655+I655</f>
        <v>5049.719999999999</v>
      </c>
      <c r="H655" s="121">
        <f>H660</f>
        <v>0</v>
      </c>
      <c r="I655" s="121">
        <f>I656+I660+I668</f>
        <v>5049.719999999999</v>
      </c>
    </row>
    <row r="656" spans="1:9" ht="14.25">
      <c r="A656" s="73" t="s">
        <v>570</v>
      </c>
      <c r="B656" s="85" t="s">
        <v>394</v>
      </c>
      <c r="C656" s="71" t="s">
        <v>213</v>
      </c>
      <c r="D656" s="71" t="s">
        <v>147</v>
      </c>
      <c r="E656" s="71" t="s">
        <v>304</v>
      </c>
      <c r="F656" s="71" t="s">
        <v>391</v>
      </c>
      <c r="G656" s="91">
        <f>H656+I656</f>
        <v>1205</v>
      </c>
      <c r="H656" s="121">
        <f aca="true" t="shared" si="41" ref="H656:I658">H657</f>
        <v>0</v>
      </c>
      <c r="I656" s="121">
        <f>I657</f>
        <v>1205</v>
      </c>
    </row>
    <row r="657" spans="1:9" ht="82.5">
      <c r="A657" s="53" t="s">
        <v>571</v>
      </c>
      <c r="B657" s="21" t="s">
        <v>394</v>
      </c>
      <c r="C657" s="35" t="s">
        <v>213</v>
      </c>
      <c r="D657" s="35" t="s">
        <v>147</v>
      </c>
      <c r="E657" s="57" t="s">
        <v>44</v>
      </c>
      <c r="F657" s="57" t="s">
        <v>391</v>
      </c>
      <c r="G657" s="92">
        <f>I657</f>
        <v>1205</v>
      </c>
      <c r="H657" s="92">
        <f t="shared" si="41"/>
        <v>0</v>
      </c>
      <c r="I657" s="92">
        <f t="shared" si="41"/>
        <v>1205</v>
      </c>
    </row>
    <row r="658" spans="1:9" ht="27">
      <c r="A658" s="17" t="s">
        <v>194</v>
      </c>
      <c r="B658" s="21" t="s">
        <v>394</v>
      </c>
      <c r="C658" s="35" t="s">
        <v>213</v>
      </c>
      <c r="D658" s="35" t="s">
        <v>147</v>
      </c>
      <c r="E658" s="35" t="s">
        <v>856</v>
      </c>
      <c r="F658" s="35" t="s">
        <v>150</v>
      </c>
      <c r="G658" s="83">
        <f>I658</f>
        <v>1205</v>
      </c>
      <c r="H658" s="83">
        <f t="shared" si="41"/>
        <v>0</v>
      </c>
      <c r="I658" s="83">
        <f t="shared" si="41"/>
        <v>1205</v>
      </c>
    </row>
    <row r="659" spans="1:9" ht="27">
      <c r="A659" s="17" t="s">
        <v>197</v>
      </c>
      <c r="B659" s="21" t="s">
        <v>394</v>
      </c>
      <c r="C659" s="35" t="s">
        <v>213</v>
      </c>
      <c r="D659" s="35" t="s">
        <v>147</v>
      </c>
      <c r="E659" s="35" t="s">
        <v>856</v>
      </c>
      <c r="F659" s="35" t="s">
        <v>198</v>
      </c>
      <c r="G659" s="83">
        <f>I659</f>
        <v>1205</v>
      </c>
      <c r="H659" s="83"/>
      <c r="I659" s="83">
        <f>2160-955</f>
        <v>1205</v>
      </c>
    </row>
    <row r="660" spans="1:10" ht="14.25">
      <c r="A660" s="73" t="s">
        <v>384</v>
      </c>
      <c r="B660" s="85" t="s">
        <v>394</v>
      </c>
      <c r="C660" s="71" t="s">
        <v>213</v>
      </c>
      <c r="D660" s="71" t="s">
        <v>151</v>
      </c>
      <c r="E660" s="71" t="s">
        <v>304</v>
      </c>
      <c r="F660" s="71" t="s">
        <v>391</v>
      </c>
      <c r="G660" s="86">
        <f aca="true" t="shared" si="42" ref="G660:G672">H660+I660</f>
        <v>3544.7199999999993</v>
      </c>
      <c r="H660" s="86">
        <f>H661</f>
        <v>0</v>
      </c>
      <c r="I660" s="86">
        <f>I663</f>
        <v>3544.7199999999993</v>
      </c>
      <c r="J660" s="82"/>
    </row>
    <row r="661" spans="1:9" ht="41.25">
      <c r="A661" s="53" t="s">
        <v>452</v>
      </c>
      <c r="B661" s="169" t="s">
        <v>394</v>
      </c>
      <c r="C661" s="57" t="s">
        <v>213</v>
      </c>
      <c r="D661" s="57" t="s">
        <v>141</v>
      </c>
      <c r="E661" s="57" t="s">
        <v>26</v>
      </c>
      <c r="F661" s="57" t="s">
        <v>391</v>
      </c>
      <c r="G661" s="83">
        <f t="shared" si="42"/>
        <v>3544.7199999999993</v>
      </c>
      <c r="H661" s="108">
        <f>H662</f>
        <v>0</v>
      </c>
      <c r="I661" s="108">
        <f>I662</f>
        <v>3544.7199999999993</v>
      </c>
    </row>
    <row r="662" spans="1:9" ht="41.25">
      <c r="A662" s="79" t="s">
        <v>242</v>
      </c>
      <c r="B662" s="75" t="s">
        <v>394</v>
      </c>
      <c r="C662" s="35" t="s">
        <v>213</v>
      </c>
      <c r="D662" s="35" t="s">
        <v>151</v>
      </c>
      <c r="E662" s="35" t="s">
        <v>39</v>
      </c>
      <c r="F662" s="35" t="s">
        <v>391</v>
      </c>
      <c r="G662" s="83">
        <f t="shared" si="42"/>
        <v>3544.7199999999993</v>
      </c>
      <c r="H662" s="108">
        <f>H663</f>
        <v>0</v>
      </c>
      <c r="I662" s="108">
        <f>I663</f>
        <v>3544.7199999999993</v>
      </c>
    </row>
    <row r="663" spans="1:9" ht="69">
      <c r="A663" s="17" t="s">
        <v>215</v>
      </c>
      <c r="B663" s="21" t="s">
        <v>394</v>
      </c>
      <c r="C663" s="35" t="s">
        <v>213</v>
      </c>
      <c r="D663" s="35" t="s">
        <v>151</v>
      </c>
      <c r="E663" s="35" t="s">
        <v>85</v>
      </c>
      <c r="F663" s="35" t="s">
        <v>391</v>
      </c>
      <c r="G663" s="83">
        <f t="shared" si="42"/>
        <v>3544.7199999999993</v>
      </c>
      <c r="H663" s="83">
        <f>H665</f>
        <v>0</v>
      </c>
      <c r="I663" s="83">
        <f>I664+I665</f>
        <v>3544.7199999999993</v>
      </c>
    </row>
    <row r="664" spans="1:9" ht="41.25">
      <c r="A664" s="44" t="s">
        <v>181</v>
      </c>
      <c r="B664" s="21" t="s">
        <v>394</v>
      </c>
      <c r="C664" s="35" t="s">
        <v>213</v>
      </c>
      <c r="D664" s="35" t="s">
        <v>151</v>
      </c>
      <c r="E664" s="35" t="s">
        <v>85</v>
      </c>
      <c r="F664" s="35" t="s">
        <v>182</v>
      </c>
      <c r="G664" s="83">
        <f t="shared" si="42"/>
        <v>53.17091</v>
      </c>
      <c r="H664" s="83"/>
      <c r="I664" s="83">
        <f>90.529-37.35809</f>
        <v>53.17091</v>
      </c>
    </row>
    <row r="665" spans="1:9" ht="27">
      <c r="A665" s="50" t="s">
        <v>195</v>
      </c>
      <c r="B665" s="21" t="s">
        <v>394</v>
      </c>
      <c r="C665" s="35" t="s">
        <v>213</v>
      </c>
      <c r="D665" s="35" t="s">
        <v>151</v>
      </c>
      <c r="E665" s="35" t="s">
        <v>85</v>
      </c>
      <c r="F665" s="13">
        <v>310</v>
      </c>
      <c r="G665" s="83">
        <f t="shared" si="42"/>
        <v>3491.5490899999995</v>
      </c>
      <c r="H665" s="83"/>
      <c r="I665" s="83">
        <f>5944.73-2453.18091</f>
        <v>3491.5490899999995</v>
      </c>
    </row>
    <row r="666" spans="1:9" ht="41.25">
      <c r="A666" s="53" t="s">
        <v>453</v>
      </c>
      <c r="B666" s="21" t="s">
        <v>394</v>
      </c>
      <c r="C666" s="35" t="s">
        <v>213</v>
      </c>
      <c r="D666" s="35" t="s">
        <v>151</v>
      </c>
      <c r="E666" s="57" t="s">
        <v>26</v>
      </c>
      <c r="F666" s="57" t="s">
        <v>391</v>
      </c>
      <c r="G666" s="83">
        <f t="shared" si="42"/>
        <v>300</v>
      </c>
      <c r="H666" s="83"/>
      <c r="I666" s="83">
        <f>I667</f>
        <v>300</v>
      </c>
    </row>
    <row r="667" spans="1:9" ht="27">
      <c r="A667" s="79" t="s">
        <v>441</v>
      </c>
      <c r="B667" s="21" t="s">
        <v>394</v>
      </c>
      <c r="C667" s="35" t="s">
        <v>213</v>
      </c>
      <c r="D667" s="35" t="s">
        <v>151</v>
      </c>
      <c r="E667" s="35" t="s">
        <v>61</v>
      </c>
      <c r="F667" s="35" t="s">
        <v>391</v>
      </c>
      <c r="G667" s="83">
        <f t="shared" si="42"/>
        <v>300</v>
      </c>
      <c r="H667" s="83"/>
      <c r="I667" s="83">
        <f>I668</f>
        <v>300</v>
      </c>
    </row>
    <row r="668" spans="1:9" ht="54.75">
      <c r="A668" s="77" t="s">
        <v>707</v>
      </c>
      <c r="B668" s="171" t="s">
        <v>394</v>
      </c>
      <c r="C668" s="78" t="s">
        <v>213</v>
      </c>
      <c r="D668" s="78" t="s">
        <v>151</v>
      </c>
      <c r="E668" s="78" t="s">
        <v>61</v>
      </c>
      <c r="F668" s="78" t="s">
        <v>391</v>
      </c>
      <c r="G668" s="91">
        <f t="shared" si="42"/>
        <v>300</v>
      </c>
      <c r="H668" s="121"/>
      <c r="I668" s="121">
        <f>I669+I686</f>
        <v>300</v>
      </c>
    </row>
    <row r="669" spans="1:9" ht="29.25" customHeight="1">
      <c r="A669" s="44" t="s">
        <v>194</v>
      </c>
      <c r="B669" s="75" t="s">
        <v>394</v>
      </c>
      <c r="C669" s="35" t="s">
        <v>213</v>
      </c>
      <c r="D669" s="35" t="s">
        <v>151</v>
      </c>
      <c r="E669" s="35" t="s">
        <v>62</v>
      </c>
      <c r="F669" s="35" t="s">
        <v>150</v>
      </c>
      <c r="G669" s="83">
        <f t="shared" si="42"/>
        <v>300</v>
      </c>
      <c r="H669" s="108"/>
      <c r="I669" s="108">
        <f>I670</f>
        <v>300</v>
      </c>
    </row>
    <row r="670" spans="1:9" ht="29.25" customHeight="1">
      <c r="A670" s="44" t="s">
        <v>195</v>
      </c>
      <c r="B670" s="21" t="s">
        <v>394</v>
      </c>
      <c r="C670" s="35" t="s">
        <v>213</v>
      </c>
      <c r="D670" s="35" t="s">
        <v>151</v>
      </c>
      <c r="E670" s="35" t="s">
        <v>62</v>
      </c>
      <c r="F670" s="35" t="s">
        <v>196</v>
      </c>
      <c r="G670" s="83">
        <f t="shared" si="42"/>
        <v>300</v>
      </c>
      <c r="H670" s="83"/>
      <c r="I670" s="83">
        <v>300</v>
      </c>
    </row>
    <row r="671" spans="1:9" ht="17.25" customHeight="1" hidden="1">
      <c r="A671" s="77" t="s">
        <v>216</v>
      </c>
      <c r="B671" s="84" t="s">
        <v>394</v>
      </c>
      <c r="C671" s="78" t="s">
        <v>158</v>
      </c>
      <c r="D671" s="78" t="s">
        <v>141</v>
      </c>
      <c r="E671" s="78" t="s">
        <v>304</v>
      </c>
      <c r="F671" s="78" t="s">
        <v>391</v>
      </c>
      <c r="G671" s="91">
        <f t="shared" si="42"/>
        <v>0</v>
      </c>
      <c r="H671" s="91">
        <f>H672+H679</f>
        <v>0</v>
      </c>
      <c r="I671" s="91">
        <f>I672+I679</f>
        <v>0</v>
      </c>
    </row>
    <row r="672" spans="1:9" ht="30.75" customHeight="1" hidden="1">
      <c r="A672" s="77" t="s">
        <v>688</v>
      </c>
      <c r="B672" s="21" t="s">
        <v>394</v>
      </c>
      <c r="C672" s="78" t="s">
        <v>158</v>
      </c>
      <c r="D672" s="78" t="s">
        <v>142</v>
      </c>
      <c r="E672" s="78" t="s">
        <v>86</v>
      </c>
      <c r="F672" s="78" t="s">
        <v>391</v>
      </c>
      <c r="G672" s="91">
        <f t="shared" si="42"/>
        <v>0</v>
      </c>
      <c r="H672" s="91">
        <f>H676</f>
        <v>0</v>
      </c>
      <c r="I672" s="91">
        <f>I673</f>
        <v>0</v>
      </c>
    </row>
    <row r="673" spans="1:9" ht="56.25" customHeight="1" hidden="1">
      <c r="A673" s="54" t="s">
        <v>694</v>
      </c>
      <c r="B673" s="21" t="s">
        <v>394</v>
      </c>
      <c r="C673" s="57" t="s">
        <v>158</v>
      </c>
      <c r="D673" s="57" t="s">
        <v>142</v>
      </c>
      <c r="E673" s="35" t="s">
        <v>691</v>
      </c>
      <c r="F673" s="35" t="s">
        <v>391</v>
      </c>
      <c r="G673" s="92">
        <f>I673</f>
        <v>0</v>
      </c>
      <c r="H673" s="92"/>
      <c r="I673" s="92">
        <f>I674</f>
        <v>0</v>
      </c>
    </row>
    <row r="674" spans="1:9" ht="42.75" customHeight="1" hidden="1">
      <c r="A674" s="17" t="s">
        <v>578</v>
      </c>
      <c r="B674" s="21" t="s">
        <v>394</v>
      </c>
      <c r="C674" s="35" t="s">
        <v>158</v>
      </c>
      <c r="D674" s="35" t="s">
        <v>142</v>
      </c>
      <c r="E674" s="35" t="s">
        <v>691</v>
      </c>
      <c r="F674" s="35" t="s">
        <v>204</v>
      </c>
      <c r="G674" s="83">
        <f>I674</f>
        <v>0</v>
      </c>
      <c r="H674" s="83"/>
      <c r="I674" s="83">
        <f>I675</f>
        <v>0</v>
      </c>
    </row>
    <row r="675" spans="1:9" ht="18" customHeight="1" hidden="1">
      <c r="A675" s="17" t="s">
        <v>168</v>
      </c>
      <c r="B675" s="21" t="s">
        <v>394</v>
      </c>
      <c r="C675" s="35" t="s">
        <v>158</v>
      </c>
      <c r="D675" s="35" t="s">
        <v>142</v>
      </c>
      <c r="E675" s="35" t="s">
        <v>691</v>
      </c>
      <c r="F675" s="35" t="s">
        <v>271</v>
      </c>
      <c r="G675" s="83">
        <f>I675</f>
        <v>0</v>
      </c>
      <c r="H675" s="83"/>
      <c r="I675" s="83">
        <v>0</v>
      </c>
    </row>
    <row r="676" spans="1:9" ht="69.75" customHeight="1" hidden="1">
      <c r="A676" s="54" t="s">
        <v>695</v>
      </c>
      <c r="B676" s="21" t="s">
        <v>394</v>
      </c>
      <c r="C676" s="57" t="s">
        <v>158</v>
      </c>
      <c r="D676" s="57" t="s">
        <v>142</v>
      </c>
      <c r="E676" s="35" t="s">
        <v>692</v>
      </c>
      <c r="F676" s="35" t="s">
        <v>391</v>
      </c>
      <c r="G676" s="92">
        <f>H676</f>
        <v>0</v>
      </c>
      <c r="H676" s="92">
        <f>H677</f>
        <v>0</v>
      </c>
      <c r="I676" s="92"/>
    </row>
    <row r="677" spans="1:9" ht="43.5" customHeight="1" hidden="1">
      <c r="A677" s="17" t="s">
        <v>578</v>
      </c>
      <c r="B677" s="21" t="s">
        <v>394</v>
      </c>
      <c r="C677" s="35" t="s">
        <v>158</v>
      </c>
      <c r="D677" s="35" t="s">
        <v>142</v>
      </c>
      <c r="E677" s="35" t="s">
        <v>692</v>
      </c>
      <c r="F677" s="35" t="s">
        <v>204</v>
      </c>
      <c r="G677" s="83">
        <f>H677</f>
        <v>0</v>
      </c>
      <c r="H677" s="83">
        <f>H678</f>
        <v>0</v>
      </c>
      <c r="I677" s="83"/>
    </row>
    <row r="678" spans="1:9" ht="16.5" customHeight="1" hidden="1">
      <c r="A678" s="17" t="s">
        <v>168</v>
      </c>
      <c r="B678" s="21" t="s">
        <v>394</v>
      </c>
      <c r="C678" s="35" t="s">
        <v>158</v>
      </c>
      <c r="D678" s="35" t="s">
        <v>142</v>
      </c>
      <c r="E678" s="35" t="s">
        <v>692</v>
      </c>
      <c r="F678" s="35" t="s">
        <v>271</v>
      </c>
      <c r="G678" s="83">
        <f>H678</f>
        <v>0</v>
      </c>
      <c r="H678" s="83">
        <v>0</v>
      </c>
      <c r="I678" s="83"/>
    </row>
    <row r="679" spans="1:9" ht="44.25" customHeight="1" hidden="1">
      <c r="A679" s="80" t="s">
        <v>576</v>
      </c>
      <c r="B679" s="84" t="s">
        <v>394</v>
      </c>
      <c r="C679" s="78" t="s">
        <v>158</v>
      </c>
      <c r="D679" s="78" t="s">
        <v>142</v>
      </c>
      <c r="E679" s="78" t="s">
        <v>86</v>
      </c>
      <c r="F679" s="78" t="s">
        <v>391</v>
      </c>
      <c r="G679" s="91">
        <f>H679+I679</f>
        <v>0</v>
      </c>
      <c r="H679" s="91">
        <f>H683</f>
        <v>0</v>
      </c>
      <c r="I679" s="91">
        <f>I680</f>
        <v>0</v>
      </c>
    </row>
    <row r="680" spans="1:9" ht="72" customHeight="1" hidden="1">
      <c r="A680" s="54" t="s">
        <v>595</v>
      </c>
      <c r="B680" s="72" t="s">
        <v>394</v>
      </c>
      <c r="C680" s="57" t="s">
        <v>158</v>
      </c>
      <c r="D680" s="57" t="s">
        <v>142</v>
      </c>
      <c r="E680" s="57" t="s">
        <v>577</v>
      </c>
      <c r="F680" s="57" t="s">
        <v>391</v>
      </c>
      <c r="G680" s="92">
        <f>I680</f>
        <v>0</v>
      </c>
      <c r="H680" s="92"/>
      <c r="I680" s="92">
        <f>I681</f>
        <v>0</v>
      </c>
    </row>
    <row r="681" spans="1:9" ht="43.5" customHeight="1" hidden="1">
      <c r="A681" s="17" t="s">
        <v>578</v>
      </c>
      <c r="B681" s="21" t="s">
        <v>394</v>
      </c>
      <c r="C681" s="35" t="s">
        <v>158</v>
      </c>
      <c r="D681" s="35" t="s">
        <v>142</v>
      </c>
      <c r="E681" s="35" t="s">
        <v>577</v>
      </c>
      <c r="F681" s="35" t="s">
        <v>204</v>
      </c>
      <c r="G681" s="83">
        <f>I681</f>
        <v>0</v>
      </c>
      <c r="H681" s="83"/>
      <c r="I681" s="83">
        <f>I682</f>
        <v>0</v>
      </c>
    </row>
    <row r="682" spans="1:9" ht="20.25" customHeight="1" hidden="1">
      <c r="A682" s="17" t="s">
        <v>168</v>
      </c>
      <c r="B682" s="21" t="s">
        <v>394</v>
      </c>
      <c r="C682" s="35" t="s">
        <v>158</v>
      </c>
      <c r="D682" s="35" t="s">
        <v>142</v>
      </c>
      <c r="E682" s="35" t="s">
        <v>577</v>
      </c>
      <c r="F682" s="35" t="s">
        <v>271</v>
      </c>
      <c r="G682" s="83">
        <f>I682</f>
        <v>0</v>
      </c>
      <c r="H682" s="83"/>
      <c r="I682" s="83">
        <v>0</v>
      </c>
    </row>
    <row r="683" spans="1:9" ht="85.5" customHeight="1" hidden="1">
      <c r="A683" s="54" t="s">
        <v>596</v>
      </c>
      <c r="B683" s="72" t="s">
        <v>394</v>
      </c>
      <c r="C683" s="57" t="s">
        <v>158</v>
      </c>
      <c r="D683" s="57" t="s">
        <v>142</v>
      </c>
      <c r="E683" s="57" t="s">
        <v>579</v>
      </c>
      <c r="F683" s="57" t="s">
        <v>391</v>
      </c>
      <c r="G683" s="92">
        <f>H683</f>
        <v>0</v>
      </c>
      <c r="H683" s="92">
        <f>H684</f>
        <v>0</v>
      </c>
      <c r="I683" s="92"/>
    </row>
    <row r="684" spans="1:9" ht="42" customHeight="1" hidden="1">
      <c r="A684" s="17" t="s">
        <v>578</v>
      </c>
      <c r="B684" s="21" t="s">
        <v>394</v>
      </c>
      <c r="C684" s="35" t="s">
        <v>158</v>
      </c>
      <c r="D684" s="35" t="s">
        <v>142</v>
      </c>
      <c r="E684" s="35" t="s">
        <v>579</v>
      </c>
      <c r="F684" s="35" t="s">
        <v>204</v>
      </c>
      <c r="G684" s="83">
        <f>H684</f>
        <v>0</v>
      </c>
      <c r="H684" s="83">
        <f>H685</f>
        <v>0</v>
      </c>
      <c r="I684" s="83"/>
    </row>
    <row r="685" spans="1:9" ht="23.25" customHeight="1" hidden="1">
      <c r="A685" s="17" t="s">
        <v>168</v>
      </c>
      <c r="B685" s="21" t="s">
        <v>394</v>
      </c>
      <c r="C685" s="35" t="s">
        <v>158</v>
      </c>
      <c r="D685" s="35" t="s">
        <v>142</v>
      </c>
      <c r="E685" s="35" t="s">
        <v>579</v>
      </c>
      <c r="F685" s="35" t="s">
        <v>271</v>
      </c>
      <c r="G685" s="83">
        <f>H685</f>
        <v>0</v>
      </c>
      <c r="H685" s="83">
        <v>0</v>
      </c>
      <c r="I685" s="83"/>
    </row>
    <row r="686" spans="1:9" ht="27">
      <c r="A686" s="245" t="s">
        <v>132</v>
      </c>
      <c r="B686" s="171" t="s">
        <v>393</v>
      </c>
      <c r="C686" s="171" t="s">
        <v>141</v>
      </c>
      <c r="D686" s="171" t="s">
        <v>141</v>
      </c>
      <c r="E686" s="171" t="s">
        <v>304</v>
      </c>
      <c r="F686" s="171" t="s">
        <v>391</v>
      </c>
      <c r="G686" s="91">
        <f aca="true" t="shared" si="43" ref="G686:G696">H686+I686</f>
        <v>1688.7</v>
      </c>
      <c r="H686" s="121">
        <f>H687</f>
        <v>1688.7</v>
      </c>
      <c r="I686" s="121">
        <f>I687</f>
        <v>0</v>
      </c>
    </row>
    <row r="687" spans="1:9" ht="41.25">
      <c r="A687" s="50" t="s">
        <v>380</v>
      </c>
      <c r="B687" s="75" t="s">
        <v>393</v>
      </c>
      <c r="C687" s="35" t="s">
        <v>140</v>
      </c>
      <c r="D687" s="35" t="s">
        <v>153</v>
      </c>
      <c r="E687" s="35" t="s">
        <v>304</v>
      </c>
      <c r="F687" s="35" t="s">
        <v>391</v>
      </c>
      <c r="G687" s="83">
        <f t="shared" si="43"/>
        <v>1688.7</v>
      </c>
      <c r="H687" s="108">
        <f>H688</f>
        <v>1688.7</v>
      </c>
      <c r="I687" s="108">
        <f>I688</f>
        <v>0</v>
      </c>
    </row>
    <row r="688" spans="1:9" ht="27">
      <c r="A688" s="50" t="s">
        <v>154</v>
      </c>
      <c r="B688" s="75" t="s">
        <v>393</v>
      </c>
      <c r="C688" s="35" t="s">
        <v>140</v>
      </c>
      <c r="D688" s="35" t="s">
        <v>153</v>
      </c>
      <c r="E688" s="35" t="s">
        <v>8</v>
      </c>
      <c r="F688" s="35" t="s">
        <v>391</v>
      </c>
      <c r="G688" s="83">
        <f t="shared" si="43"/>
        <v>1688.7</v>
      </c>
      <c r="H688" s="108">
        <f>H689</f>
        <v>1688.7</v>
      </c>
      <c r="I688" s="108">
        <f>I689+I694</f>
        <v>0</v>
      </c>
    </row>
    <row r="689" spans="1:9" ht="41.25">
      <c r="A689" s="17" t="s">
        <v>155</v>
      </c>
      <c r="B689" s="75" t="s">
        <v>393</v>
      </c>
      <c r="C689" s="35" t="s">
        <v>140</v>
      </c>
      <c r="D689" s="35" t="s">
        <v>153</v>
      </c>
      <c r="E689" s="35" t="s">
        <v>9</v>
      </c>
      <c r="F689" s="35" t="s">
        <v>391</v>
      </c>
      <c r="G689" s="83">
        <f t="shared" si="43"/>
        <v>1688.7</v>
      </c>
      <c r="H689" s="108">
        <f>H690+H692+H694</f>
        <v>1688.7</v>
      </c>
      <c r="I689" s="108">
        <f>I690+I692+I694</f>
        <v>0</v>
      </c>
    </row>
    <row r="690" spans="1:9" ht="27">
      <c r="A690" s="17" t="s">
        <v>180</v>
      </c>
      <c r="B690" s="75" t="s">
        <v>393</v>
      </c>
      <c r="C690" s="35" t="s">
        <v>140</v>
      </c>
      <c r="D690" s="35" t="s">
        <v>153</v>
      </c>
      <c r="E690" s="35" t="s">
        <v>12</v>
      </c>
      <c r="F690" s="35" t="s">
        <v>149</v>
      </c>
      <c r="G690" s="83">
        <f t="shared" si="43"/>
        <v>75.23899999999999</v>
      </c>
      <c r="H690" s="108">
        <f>H691</f>
        <v>75.23899999999999</v>
      </c>
      <c r="I690" s="108">
        <f>I691</f>
        <v>0</v>
      </c>
    </row>
    <row r="691" spans="1:9" ht="41.25">
      <c r="A691" s="17" t="s">
        <v>181</v>
      </c>
      <c r="B691" s="75" t="s">
        <v>393</v>
      </c>
      <c r="C691" s="35" t="s">
        <v>140</v>
      </c>
      <c r="D691" s="35" t="s">
        <v>153</v>
      </c>
      <c r="E691" s="35" t="s">
        <v>12</v>
      </c>
      <c r="F691" s="35" t="s">
        <v>182</v>
      </c>
      <c r="G691" s="83">
        <f t="shared" si="43"/>
        <v>75.23899999999999</v>
      </c>
      <c r="H691" s="83">
        <f>93.3-10-10.855+2.794</f>
        <v>75.23899999999999</v>
      </c>
      <c r="I691" s="108"/>
    </row>
    <row r="692" spans="1:9" ht="13.5">
      <c r="A692" s="17" t="s">
        <v>185</v>
      </c>
      <c r="B692" s="75" t="s">
        <v>393</v>
      </c>
      <c r="C692" s="35" t="s">
        <v>140</v>
      </c>
      <c r="D692" s="35" t="s">
        <v>153</v>
      </c>
      <c r="E692" s="35" t="s">
        <v>12</v>
      </c>
      <c r="F692" s="35" t="s">
        <v>186</v>
      </c>
      <c r="G692" s="83">
        <f t="shared" si="43"/>
        <v>0.946</v>
      </c>
      <c r="H692" s="83">
        <f>H693</f>
        <v>0.946</v>
      </c>
      <c r="I692" s="108"/>
    </row>
    <row r="693" spans="1:9" ht="13.5">
      <c r="A693" s="17" t="s">
        <v>183</v>
      </c>
      <c r="B693" s="75" t="s">
        <v>393</v>
      </c>
      <c r="C693" s="35" t="s">
        <v>140</v>
      </c>
      <c r="D693" s="35" t="s">
        <v>153</v>
      </c>
      <c r="E693" s="35" t="s">
        <v>12</v>
      </c>
      <c r="F693" s="35" t="s">
        <v>184</v>
      </c>
      <c r="G693" s="83">
        <f t="shared" si="43"/>
        <v>0.946</v>
      </c>
      <c r="H693" s="83">
        <f>2-1.054</f>
        <v>0.946</v>
      </c>
      <c r="I693" s="108"/>
    </row>
    <row r="694" spans="1:9" ht="13.5">
      <c r="A694" s="53" t="s">
        <v>156</v>
      </c>
      <c r="B694" s="169" t="s">
        <v>393</v>
      </c>
      <c r="C694" s="57" t="s">
        <v>140</v>
      </c>
      <c r="D694" s="57" t="s">
        <v>153</v>
      </c>
      <c r="E694" s="57" t="s">
        <v>13</v>
      </c>
      <c r="F694" s="57" t="s">
        <v>391</v>
      </c>
      <c r="G694" s="92">
        <f t="shared" si="43"/>
        <v>1612.515</v>
      </c>
      <c r="H694" s="120">
        <f>H695</f>
        <v>1612.515</v>
      </c>
      <c r="I694" s="120">
        <f>I695</f>
        <v>0</v>
      </c>
    </row>
    <row r="695" spans="1:9" ht="72" customHeight="1">
      <c r="A695" s="17" t="s">
        <v>177</v>
      </c>
      <c r="B695" s="75" t="s">
        <v>393</v>
      </c>
      <c r="C695" s="35" t="s">
        <v>140</v>
      </c>
      <c r="D695" s="35" t="s">
        <v>153</v>
      </c>
      <c r="E695" s="35" t="s">
        <v>13</v>
      </c>
      <c r="F695" s="35" t="s">
        <v>145</v>
      </c>
      <c r="G695" s="83">
        <f t="shared" si="43"/>
        <v>1612.515</v>
      </c>
      <c r="H695" s="83">
        <f>H696</f>
        <v>1612.515</v>
      </c>
      <c r="I695" s="83">
        <f>I696</f>
        <v>0</v>
      </c>
    </row>
    <row r="696" spans="1:9" ht="29.25" customHeight="1">
      <c r="A696" s="17" t="s">
        <v>179</v>
      </c>
      <c r="B696" s="75" t="s">
        <v>393</v>
      </c>
      <c r="C696" s="35" t="s">
        <v>140</v>
      </c>
      <c r="D696" s="35" t="s">
        <v>153</v>
      </c>
      <c r="E696" s="35" t="s">
        <v>13</v>
      </c>
      <c r="F696" s="35" t="s">
        <v>178</v>
      </c>
      <c r="G696" s="83">
        <f t="shared" si="43"/>
        <v>1612.515</v>
      </c>
      <c r="H696" s="83">
        <f>1585.4+21.45+5.665</f>
        <v>1612.515</v>
      </c>
      <c r="I696" s="122"/>
    </row>
    <row r="697" spans="1:9" s="39" customFormat="1" ht="13.5">
      <c r="A697" s="300" t="s">
        <v>133</v>
      </c>
      <c r="B697" s="301"/>
      <c r="C697" s="301"/>
      <c r="D697" s="301"/>
      <c r="E697" s="301"/>
      <c r="F697" s="301"/>
      <c r="G697" s="91">
        <f>I697+H697</f>
        <v>643957.28573</v>
      </c>
      <c r="H697" s="91">
        <f>H12+H446+H462+H501+H686</f>
        <v>332955.00472</v>
      </c>
      <c r="I697" s="91">
        <f>I12+I446+I462+I501+I686</f>
        <v>311002.28101</v>
      </c>
    </row>
    <row r="698" spans="7:8" ht="13.5">
      <c r="G698" s="205"/>
      <c r="H698" s="206"/>
    </row>
    <row r="699" spans="6:9" ht="13.5">
      <c r="F699" s="33"/>
      <c r="G699" s="82"/>
      <c r="H699" s="82"/>
      <c r="I699" s="82"/>
    </row>
    <row r="700" spans="6:9" ht="13.5">
      <c r="F700" s="33"/>
      <c r="G700" s="82"/>
      <c r="H700" s="82"/>
      <c r="I700" s="82"/>
    </row>
    <row r="701" spans="6:9" ht="13.5">
      <c r="F701" s="33"/>
      <c r="G701" s="82"/>
      <c r="H701" s="82"/>
      <c r="I701" s="82"/>
    </row>
    <row r="702" spans="5:9" ht="13.5">
      <c r="E702" s="296"/>
      <c r="F702" s="33"/>
      <c r="G702" s="214"/>
      <c r="H702" s="82"/>
      <c r="I702" s="82"/>
    </row>
    <row r="703" ht="13.5">
      <c r="G703" s="302"/>
    </row>
  </sheetData>
  <sheetProtection/>
  <mergeCells count="16">
    <mergeCell ref="A10:A11"/>
    <mergeCell ref="B10:B11"/>
    <mergeCell ref="C10:C11"/>
    <mergeCell ref="D10:D11"/>
    <mergeCell ref="E10:E11"/>
    <mergeCell ref="F10:F11"/>
    <mergeCell ref="G10:G11"/>
    <mergeCell ref="H10:I10"/>
    <mergeCell ref="G1:I1"/>
    <mergeCell ref="F2:I2"/>
    <mergeCell ref="B3:F3"/>
    <mergeCell ref="G3:I3"/>
    <mergeCell ref="B4:F4"/>
    <mergeCell ref="G4:I4"/>
    <mergeCell ref="A6:I6"/>
    <mergeCell ref="A7:I7"/>
  </mergeCells>
  <printOptions/>
  <pageMargins left="0.7086614173228347" right="0.7086614173228347" top="0.7480314960629921" bottom="0.7480314960629921" header="0.31496062992125984" footer="0.31496062992125984"/>
  <pageSetup horizontalDpi="600" verticalDpi="600" orientation="portrait" paperSize="9" scale="59" r:id="rId1"/>
</worksheet>
</file>

<file path=xl/worksheets/sheet5.xml><?xml version="1.0" encoding="utf-8"?>
<worksheet xmlns="http://schemas.openxmlformats.org/spreadsheetml/2006/main" xmlns:r="http://schemas.openxmlformats.org/officeDocument/2006/relationships">
  <sheetPr>
    <tabColor rgb="FFFF0000"/>
  </sheetPr>
  <dimension ref="A1:G269"/>
  <sheetViews>
    <sheetView view="pageBreakPreview" zoomScaleSheetLayoutView="100" zoomScalePageLayoutView="0" workbookViewId="0" topLeftCell="A245">
      <selection activeCell="C262" sqref="C262:E268"/>
    </sheetView>
  </sheetViews>
  <sheetFormatPr defaultColWidth="8.625" defaultRowHeight="12.75"/>
  <cols>
    <col min="1" max="1" width="73.625" style="323" customWidth="1"/>
    <col min="2" max="2" width="6.625" style="33" customWidth="1"/>
    <col min="3" max="3" width="18.50390625" style="173" customWidth="1"/>
    <col min="4" max="4" width="14.625" style="66" customWidth="1"/>
    <col min="5" max="5" width="15.375" style="33" customWidth="1"/>
    <col min="6" max="6" width="14.375" style="33" customWidth="1"/>
    <col min="7" max="7" width="14.625" style="33" bestFit="1" customWidth="1"/>
    <col min="8" max="16384" width="8.625" style="33" customWidth="1"/>
  </cols>
  <sheetData>
    <row r="1" spans="1:4" ht="15">
      <c r="A1" s="276" t="s">
        <v>933</v>
      </c>
      <c r="B1" s="276"/>
      <c r="C1" s="276"/>
      <c r="D1" s="276"/>
    </row>
    <row r="2" spans="1:4" ht="15">
      <c r="A2" s="276" t="s">
        <v>387</v>
      </c>
      <c r="B2" s="276"/>
      <c r="C2" s="276"/>
      <c r="D2" s="276"/>
    </row>
    <row r="3" spans="1:4" ht="15">
      <c r="A3" s="276" t="s">
        <v>427</v>
      </c>
      <c r="B3" s="276"/>
      <c r="C3" s="276"/>
      <c r="D3" s="276"/>
    </row>
    <row r="4" spans="1:4" ht="15">
      <c r="A4" s="247" t="s">
        <v>948</v>
      </c>
      <c r="B4" s="247"/>
      <c r="C4" s="247"/>
      <c r="D4" s="247"/>
    </row>
    <row r="5" spans="1:2" ht="5.25" customHeight="1">
      <c r="A5" s="18"/>
      <c r="B5" s="172"/>
    </row>
    <row r="6" spans="1:4" ht="60.75" customHeight="1">
      <c r="A6" s="303" t="s">
        <v>764</v>
      </c>
      <c r="B6" s="303"/>
      <c r="C6" s="303"/>
      <c r="D6" s="303"/>
    </row>
    <row r="7" spans="1:4" ht="3.75" customHeight="1">
      <c r="A7" s="34"/>
      <c r="B7" s="34"/>
      <c r="C7" s="34"/>
      <c r="D7" s="106"/>
    </row>
    <row r="8" spans="1:4" ht="12.75">
      <c r="A8" s="18"/>
      <c r="B8" s="174"/>
      <c r="C8" s="175"/>
      <c r="D8" s="304" t="s">
        <v>130</v>
      </c>
    </row>
    <row r="9" spans="1:4" ht="39.75" customHeight="1">
      <c r="A9" s="3" t="s">
        <v>329</v>
      </c>
      <c r="B9" s="3" t="s">
        <v>276</v>
      </c>
      <c r="C9" s="3" t="s">
        <v>331</v>
      </c>
      <c r="D9" s="140" t="s">
        <v>497</v>
      </c>
    </row>
    <row r="10" spans="1:4" s="307" customFormat="1" ht="10.5" customHeight="1">
      <c r="A10" s="305">
        <v>1</v>
      </c>
      <c r="B10" s="305">
        <v>2</v>
      </c>
      <c r="C10" s="305">
        <v>3</v>
      </c>
      <c r="D10" s="306">
        <v>4</v>
      </c>
    </row>
    <row r="11" spans="1:6" s="311" customFormat="1" ht="18.75" customHeight="1">
      <c r="A11" s="308" t="s">
        <v>117</v>
      </c>
      <c r="B11" s="308"/>
      <c r="C11" s="308"/>
      <c r="D11" s="308"/>
      <c r="E11" s="309"/>
      <c r="F11" s="310"/>
    </row>
    <row r="12" spans="1:6" s="25" customFormat="1" ht="35.25" customHeight="1">
      <c r="A12" s="62" t="s">
        <v>461</v>
      </c>
      <c r="B12" s="5" t="s">
        <v>391</v>
      </c>
      <c r="C12" s="5" t="s">
        <v>26</v>
      </c>
      <c r="D12" s="115">
        <f>D13+D34+D44+D47+D69+D74+D77+D80+D71+D82</f>
        <v>473590.2611900001</v>
      </c>
      <c r="E12" s="82"/>
      <c r="F12" s="294"/>
    </row>
    <row r="13" spans="1:7" s="19" customFormat="1" ht="30" customHeight="1">
      <c r="A13" s="53" t="s">
        <v>279</v>
      </c>
      <c r="B13" s="72" t="s">
        <v>394</v>
      </c>
      <c r="C13" s="72" t="s">
        <v>44</v>
      </c>
      <c r="D13" s="92">
        <f>D14+D15+D21+D24+D25+D26+D29+D30+D31+D32+D33+D20</f>
        <v>307513.82799</v>
      </c>
      <c r="E13" s="312"/>
      <c r="F13" s="312"/>
      <c r="G13" s="312"/>
    </row>
    <row r="14" spans="1:5" s="37" customFormat="1" ht="16.5" customHeight="1">
      <c r="A14" s="77" t="s">
        <v>238</v>
      </c>
      <c r="B14" s="84" t="s">
        <v>394</v>
      </c>
      <c r="C14" s="84" t="s">
        <v>46</v>
      </c>
      <c r="D14" s="91">
        <f>D17+D18</f>
        <v>10493.338</v>
      </c>
      <c r="E14" s="244"/>
    </row>
    <row r="15" spans="1:4" s="37" customFormat="1" ht="40.5" customHeight="1" hidden="1">
      <c r="A15" s="17" t="s">
        <v>238</v>
      </c>
      <c r="B15" s="21" t="s">
        <v>394</v>
      </c>
      <c r="C15" s="21" t="s">
        <v>46</v>
      </c>
      <c r="D15" s="92">
        <f>D16+D19</f>
        <v>107</v>
      </c>
    </row>
    <row r="16" spans="1:4" s="37" customFormat="1" ht="62.25" customHeight="1" hidden="1">
      <c r="A16" s="17" t="s">
        <v>238</v>
      </c>
      <c r="B16" s="21" t="s">
        <v>394</v>
      </c>
      <c r="C16" s="21" t="s">
        <v>46</v>
      </c>
      <c r="D16" s="83">
        <v>0</v>
      </c>
    </row>
    <row r="17" spans="1:5" s="37" customFormat="1" ht="33.75" customHeight="1">
      <c r="A17" s="17" t="s">
        <v>897</v>
      </c>
      <c r="B17" s="21" t="s">
        <v>394</v>
      </c>
      <c r="C17" s="21" t="s">
        <v>46</v>
      </c>
      <c r="D17" s="83">
        <f>700+100+393.313+48.5+210</f>
        <v>1451.813</v>
      </c>
      <c r="E17" s="143"/>
    </row>
    <row r="18" spans="1:4" s="37" customFormat="1" ht="32.25" customHeight="1">
      <c r="A18" s="17" t="s">
        <v>898</v>
      </c>
      <c r="B18" s="21" t="s">
        <v>394</v>
      </c>
      <c r="C18" s="21" t="s">
        <v>46</v>
      </c>
      <c r="D18" s="83">
        <f>10268.72-487.046-740.149</f>
        <v>9041.525</v>
      </c>
    </row>
    <row r="19" spans="1:4" s="37" customFormat="1" ht="41.25" customHeight="1">
      <c r="A19" s="17" t="s">
        <v>665</v>
      </c>
      <c r="B19" s="21" t="s">
        <v>394</v>
      </c>
      <c r="C19" s="21" t="s">
        <v>656</v>
      </c>
      <c r="D19" s="83">
        <f>76+100-69</f>
        <v>107</v>
      </c>
    </row>
    <row r="20" spans="1:5" s="37" customFormat="1" ht="29.25" customHeight="1">
      <c r="A20" s="17" t="s">
        <v>810</v>
      </c>
      <c r="B20" s="21" t="s">
        <v>394</v>
      </c>
      <c r="C20" s="21" t="s">
        <v>809</v>
      </c>
      <c r="D20" s="83">
        <v>372</v>
      </c>
      <c r="E20" s="25"/>
    </row>
    <row r="21" spans="1:7" s="37" customFormat="1" ht="45" customHeight="1" hidden="1">
      <c r="A21" s="73" t="s">
        <v>638</v>
      </c>
      <c r="B21" s="85" t="s">
        <v>169</v>
      </c>
      <c r="C21" s="85"/>
      <c r="D21" s="86">
        <f>D22+D23</f>
        <v>0</v>
      </c>
      <c r="G21" s="143"/>
    </row>
    <row r="22" spans="1:4" s="37" customFormat="1" ht="46.5" customHeight="1" hidden="1">
      <c r="A22" s="17" t="s">
        <v>639</v>
      </c>
      <c r="B22" s="21" t="s">
        <v>169</v>
      </c>
      <c r="C22" s="21" t="s">
        <v>655</v>
      </c>
      <c r="D22" s="83"/>
    </row>
    <row r="23" spans="1:7" s="37" customFormat="1" ht="55.5" customHeight="1" hidden="1">
      <c r="A23" s="17" t="s">
        <v>640</v>
      </c>
      <c r="B23" s="21" t="s">
        <v>169</v>
      </c>
      <c r="C23" s="21" t="s">
        <v>709</v>
      </c>
      <c r="D23" s="83">
        <f>325-255-70</f>
        <v>0</v>
      </c>
      <c r="G23" s="143"/>
    </row>
    <row r="24" spans="1:4" s="37" customFormat="1" ht="71.25" customHeight="1" hidden="1">
      <c r="A24" s="17" t="s">
        <v>640</v>
      </c>
      <c r="B24" s="21" t="s">
        <v>169</v>
      </c>
      <c r="C24" s="21" t="s">
        <v>656</v>
      </c>
      <c r="D24" s="83"/>
    </row>
    <row r="25" spans="1:4" s="37" customFormat="1" ht="39.75" customHeight="1" hidden="1">
      <c r="A25" s="17" t="s">
        <v>773</v>
      </c>
      <c r="B25" s="21" t="s">
        <v>394</v>
      </c>
      <c r="C25" s="21" t="s">
        <v>774</v>
      </c>
      <c r="D25" s="83">
        <f>50+68.47928-46-72.47928</f>
        <v>0</v>
      </c>
    </row>
    <row r="26" spans="1:4" s="25" customFormat="1" ht="41.25" customHeight="1">
      <c r="A26" s="77" t="s">
        <v>901</v>
      </c>
      <c r="B26" s="84" t="s">
        <v>394</v>
      </c>
      <c r="C26" s="84" t="s">
        <v>47</v>
      </c>
      <c r="D26" s="91">
        <f>D27+D28</f>
        <v>90636.62899</v>
      </c>
    </row>
    <row r="27" spans="1:5" s="25" customFormat="1" ht="44.25" customHeight="1">
      <c r="A27" s="17" t="s">
        <v>902</v>
      </c>
      <c r="B27" s="21" t="s">
        <v>394</v>
      </c>
      <c r="C27" s="21" t="s">
        <v>47</v>
      </c>
      <c r="D27" s="83">
        <f>58907.43776-30+776.00605+12355.63718</f>
        <v>72009.08099</v>
      </c>
      <c r="E27" s="82"/>
    </row>
    <row r="28" spans="1:4" s="25" customFormat="1" ht="47.25" customHeight="1">
      <c r="A28" s="17" t="s">
        <v>903</v>
      </c>
      <c r="B28" s="21" t="s">
        <v>394</v>
      </c>
      <c r="C28" s="21" t="s">
        <v>47</v>
      </c>
      <c r="D28" s="83">
        <f>4678.14+11048.4+2901.008</f>
        <v>18627.548000000003</v>
      </c>
    </row>
    <row r="29" spans="1:5" s="25" customFormat="1" ht="42" customHeight="1">
      <c r="A29" s="17" t="s">
        <v>105</v>
      </c>
      <c r="B29" s="21" t="s">
        <v>394</v>
      </c>
      <c r="C29" s="21" t="s">
        <v>58</v>
      </c>
      <c r="D29" s="83">
        <f>161257.823-3185.1+11865.638</f>
        <v>169938.361</v>
      </c>
      <c r="E29" s="82"/>
    </row>
    <row r="30" spans="1:4" s="25" customFormat="1" ht="30" customHeight="1">
      <c r="A30" s="17" t="s">
        <v>599</v>
      </c>
      <c r="B30" s="21" t="s">
        <v>394</v>
      </c>
      <c r="C30" s="21" t="s">
        <v>558</v>
      </c>
      <c r="D30" s="83">
        <v>7270.9</v>
      </c>
    </row>
    <row r="31" spans="1:4" s="25" customFormat="1" ht="48" customHeight="1">
      <c r="A31" s="17" t="s">
        <v>571</v>
      </c>
      <c r="B31" s="21" t="s">
        <v>394</v>
      </c>
      <c r="C31" s="21" t="s">
        <v>856</v>
      </c>
      <c r="D31" s="83">
        <f>2160-955</f>
        <v>1205</v>
      </c>
    </row>
    <row r="32" spans="1:4" s="25" customFormat="1" ht="44.25" customHeight="1">
      <c r="A32" s="17" t="s">
        <v>757</v>
      </c>
      <c r="B32" s="21" t="s">
        <v>394</v>
      </c>
      <c r="C32" s="21" t="s">
        <v>758</v>
      </c>
      <c r="D32" s="83">
        <f>18147.5-7270.9</f>
        <v>10876.6</v>
      </c>
    </row>
    <row r="33" spans="1:4" s="25" customFormat="1" ht="42.75" customHeight="1">
      <c r="A33" s="17" t="s">
        <v>751</v>
      </c>
      <c r="B33" s="21" t="s">
        <v>394</v>
      </c>
      <c r="C33" s="21" t="s">
        <v>759</v>
      </c>
      <c r="D33" s="83">
        <f>12051+4563</f>
        <v>16614</v>
      </c>
    </row>
    <row r="34" spans="1:6" s="19" customFormat="1" ht="33" customHeight="1">
      <c r="A34" s="53" t="s">
        <v>280</v>
      </c>
      <c r="B34" s="72" t="s">
        <v>394</v>
      </c>
      <c r="C34" s="72" t="s">
        <v>39</v>
      </c>
      <c r="D34" s="92">
        <f>D35+D38+D39+D42+D43</f>
        <v>79815.557</v>
      </c>
      <c r="F34" s="312"/>
    </row>
    <row r="35" spans="1:4" s="25" customFormat="1" ht="24.75" customHeight="1">
      <c r="A35" s="77" t="s">
        <v>281</v>
      </c>
      <c r="B35" s="84" t="s">
        <v>394</v>
      </c>
      <c r="C35" s="84" t="s">
        <v>40</v>
      </c>
      <c r="D35" s="91">
        <f>D37+D36</f>
        <v>2890.1250000000005</v>
      </c>
    </row>
    <row r="36" spans="1:4" s="25" customFormat="1" ht="30" customHeight="1">
      <c r="A36" s="17" t="s">
        <v>900</v>
      </c>
      <c r="B36" s="21" t="s">
        <v>394</v>
      </c>
      <c r="C36" s="21" t="s">
        <v>40</v>
      </c>
      <c r="D36" s="83">
        <v>400</v>
      </c>
    </row>
    <row r="37" spans="1:4" s="25" customFormat="1" ht="27" customHeight="1">
      <c r="A37" s="17" t="s">
        <v>899</v>
      </c>
      <c r="B37" s="21" t="s">
        <v>394</v>
      </c>
      <c r="C37" s="21" t="s">
        <v>40</v>
      </c>
      <c r="D37" s="83">
        <f>2794.8-209.919-94.756</f>
        <v>2490.1250000000005</v>
      </c>
    </row>
    <row r="38" spans="1:4" s="25" customFormat="1" ht="33" customHeight="1">
      <c r="A38" s="17" t="s">
        <v>816</v>
      </c>
      <c r="B38" s="21" t="s">
        <v>394</v>
      </c>
      <c r="C38" s="21" t="s">
        <v>811</v>
      </c>
      <c r="D38" s="83">
        <v>80</v>
      </c>
    </row>
    <row r="39" spans="1:5" s="25" customFormat="1" ht="46.5" customHeight="1">
      <c r="A39" s="77" t="s">
        <v>906</v>
      </c>
      <c r="B39" s="84" t="s">
        <v>394</v>
      </c>
      <c r="C39" s="84" t="s">
        <v>42</v>
      </c>
      <c r="D39" s="91">
        <f>D40+D41</f>
        <v>33831.600000000006</v>
      </c>
      <c r="E39" s="38"/>
    </row>
    <row r="40" spans="1:5" s="25" customFormat="1" ht="59.25" customHeight="1">
      <c r="A40" s="17" t="s">
        <v>904</v>
      </c>
      <c r="B40" s="21" t="s">
        <v>394</v>
      </c>
      <c r="C40" s="21" t="s">
        <v>42</v>
      </c>
      <c r="D40" s="83">
        <v>24440.9</v>
      </c>
      <c r="E40" s="38"/>
    </row>
    <row r="41" spans="1:5" s="25" customFormat="1" ht="59.25" customHeight="1">
      <c r="A41" s="17" t="s">
        <v>905</v>
      </c>
      <c r="B41" s="21" t="s">
        <v>394</v>
      </c>
      <c r="C41" s="21" t="s">
        <v>42</v>
      </c>
      <c r="D41" s="83">
        <f>2310.4+7080.3</f>
        <v>9390.7</v>
      </c>
      <c r="E41" s="38"/>
    </row>
    <row r="42" spans="1:5" s="25" customFormat="1" ht="45" customHeight="1">
      <c r="A42" s="17" t="s">
        <v>106</v>
      </c>
      <c r="B42" s="21" t="s">
        <v>394</v>
      </c>
      <c r="C42" s="21" t="s">
        <v>43</v>
      </c>
      <c r="D42" s="83">
        <f>38428.372+1040.74</f>
        <v>39469.112</v>
      </c>
      <c r="E42" s="38"/>
    </row>
    <row r="43" spans="1:5" s="25" customFormat="1" ht="58.5" customHeight="1">
      <c r="A43" s="17" t="s">
        <v>107</v>
      </c>
      <c r="B43" s="21" t="s">
        <v>394</v>
      </c>
      <c r="C43" s="21" t="s">
        <v>85</v>
      </c>
      <c r="D43" s="83">
        <f>6035.259-2490.539</f>
        <v>3544.72</v>
      </c>
      <c r="E43" s="38"/>
    </row>
    <row r="44" spans="1:4" s="19" customFormat="1" ht="16.5" customHeight="1">
      <c r="A44" s="53" t="s">
        <v>282</v>
      </c>
      <c r="B44" s="72" t="s">
        <v>394</v>
      </c>
      <c r="C44" s="72" t="s">
        <v>48</v>
      </c>
      <c r="D44" s="92">
        <f>D45+D46</f>
        <v>1600.20559</v>
      </c>
    </row>
    <row r="45" spans="1:4" s="25" customFormat="1" ht="16.5" customHeight="1">
      <c r="A45" s="17" t="s">
        <v>244</v>
      </c>
      <c r="B45" s="21" t="s">
        <v>394</v>
      </c>
      <c r="C45" s="21" t="s">
        <v>50</v>
      </c>
      <c r="D45" s="83">
        <f>250-48.17241</f>
        <v>201.82759</v>
      </c>
    </row>
    <row r="46" spans="1:4" s="25" customFormat="1" ht="18.75" customHeight="1">
      <c r="A46" s="17" t="s">
        <v>239</v>
      </c>
      <c r="B46" s="21" t="s">
        <v>394</v>
      </c>
      <c r="C46" s="21" t="s">
        <v>51</v>
      </c>
      <c r="D46" s="83">
        <f>750+500+69+79.378</f>
        <v>1398.378</v>
      </c>
    </row>
    <row r="47" spans="1:7" s="19" customFormat="1" ht="17.25" customHeight="1">
      <c r="A47" s="53" t="s">
        <v>283</v>
      </c>
      <c r="B47" s="72" t="s">
        <v>394</v>
      </c>
      <c r="C47" s="72" t="s">
        <v>52</v>
      </c>
      <c r="D47" s="92">
        <f>D48+D52+D53+D56+D59+D60+D63</f>
        <v>38419.732</v>
      </c>
      <c r="F47" s="312"/>
      <c r="G47" s="313"/>
    </row>
    <row r="48" spans="1:7" s="19" customFormat="1" ht="27.75" customHeight="1">
      <c r="A48" s="77" t="s">
        <v>828</v>
      </c>
      <c r="B48" s="84" t="s">
        <v>391</v>
      </c>
      <c r="C48" s="84" t="s">
        <v>829</v>
      </c>
      <c r="D48" s="91">
        <f>D49+D50+D51</f>
        <v>2314.152</v>
      </c>
      <c r="F48" s="312"/>
      <c r="G48" s="313"/>
    </row>
    <row r="49" spans="1:4" s="25" customFormat="1" ht="33" customHeight="1">
      <c r="A49" s="17" t="s">
        <v>908</v>
      </c>
      <c r="B49" s="84" t="s">
        <v>169</v>
      </c>
      <c r="C49" s="21" t="s">
        <v>829</v>
      </c>
      <c r="D49" s="83">
        <f>800</f>
        <v>800</v>
      </c>
    </row>
    <row r="50" spans="1:4" s="25" customFormat="1" ht="33.75" customHeight="1">
      <c r="A50" s="17" t="s">
        <v>907</v>
      </c>
      <c r="B50" s="84" t="s">
        <v>169</v>
      </c>
      <c r="C50" s="21" t="s">
        <v>829</v>
      </c>
      <c r="D50" s="83">
        <f>945-345.612</f>
        <v>599.3879999999999</v>
      </c>
    </row>
    <row r="51" spans="1:4" s="25" customFormat="1" ht="33" customHeight="1">
      <c r="A51" s="17" t="s">
        <v>907</v>
      </c>
      <c r="B51" s="84" t="s">
        <v>394</v>
      </c>
      <c r="C51" s="21" t="s">
        <v>829</v>
      </c>
      <c r="D51" s="83">
        <f>225+96.966+599.999-7.201</f>
        <v>914.764</v>
      </c>
    </row>
    <row r="52" spans="1:4" s="25" customFormat="1" ht="28.5" customHeight="1">
      <c r="A52" s="17" t="s">
        <v>813</v>
      </c>
      <c r="B52" s="21" t="s">
        <v>394</v>
      </c>
      <c r="C52" s="35" t="s">
        <v>812</v>
      </c>
      <c r="D52" s="83">
        <v>48</v>
      </c>
    </row>
    <row r="53" spans="1:4" s="25" customFormat="1" ht="20.25" customHeight="1">
      <c r="A53" s="77" t="s">
        <v>121</v>
      </c>
      <c r="B53" s="84" t="s">
        <v>394</v>
      </c>
      <c r="C53" s="78" t="s">
        <v>54</v>
      </c>
      <c r="D53" s="91">
        <f>D54+D55</f>
        <v>8094.1212</v>
      </c>
    </row>
    <row r="54" spans="1:5" s="25" customFormat="1" ht="20.25" customHeight="1">
      <c r="A54" s="17" t="s">
        <v>910</v>
      </c>
      <c r="B54" s="21" t="s">
        <v>394</v>
      </c>
      <c r="C54" s="35" t="s">
        <v>54</v>
      </c>
      <c r="D54" s="83">
        <f>5195+48</f>
        <v>5243</v>
      </c>
      <c r="E54" s="82"/>
    </row>
    <row r="55" spans="1:4" s="25" customFormat="1" ht="20.25" customHeight="1">
      <c r="A55" s="17" t="s">
        <v>911</v>
      </c>
      <c r="B55" s="21" t="s">
        <v>394</v>
      </c>
      <c r="C55" s="35" t="s">
        <v>54</v>
      </c>
      <c r="D55" s="83">
        <f>180+1017.8+1003.3212+650</f>
        <v>2851.1212</v>
      </c>
    </row>
    <row r="56" spans="1:7" s="25" customFormat="1" ht="27" customHeight="1">
      <c r="A56" s="77" t="s">
        <v>837</v>
      </c>
      <c r="B56" s="84" t="s">
        <v>394</v>
      </c>
      <c r="C56" s="78" t="s">
        <v>55</v>
      </c>
      <c r="D56" s="91">
        <f>D57+D58</f>
        <v>14105.28465</v>
      </c>
      <c r="F56" s="82"/>
      <c r="G56" s="82"/>
    </row>
    <row r="57" spans="1:7" s="25" customFormat="1" ht="32.25" customHeight="1">
      <c r="A57" s="17" t="s">
        <v>912</v>
      </c>
      <c r="B57" s="21" t="s">
        <v>394</v>
      </c>
      <c r="C57" s="35" t="s">
        <v>55</v>
      </c>
      <c r="D57" s="83">
        <v>11160.98</v>
      </c>
      <c r="E57" s="82"/>
      <c r="F57" s="82"/>
      <c r="G57" s="82"/>
    </row>
    <row r="58" spans="1:7" s="25" customFormat="1" ht="31.5" customHeight="1">
      <c r="A58" s="17" t="s">
        <v>913</v>
      </c>
      <c r="B58" s="21" t="s">
        <v>394</v>
      </c>
      <c r="C58" s="35" t="s">
        <v>55</v>
      </c>
      <c r="D58" s="83">
        <f>390+850.5+503.80465+1200</f>
        <v>2944.30465</v>
      </c>
      <c r="F58" s="82"/>
      <c r="G58" s="82"/>
    </row>
    <row r="59" spans="1:5" s="25" customFormat="1" ht="48.75" customHeight="1">
      <c r="A59" s="17" t="s">
        <v>909</v>
      </c>
      <c r="B59" s="21" t="s">
        <v>394</v>
      </c>
      <c r="C59" s="21" t="s">
        <v>838</v>
      </c>
      <c r="D59" s="83">
        <f>220+46+31</f>
        <v>297</v>
      </c>
      <c r="E59" s="82"/>
    </row>
    <row r="60" spans="1:5" s="25" customFormat="1" ht="21" customHeight="1">
      <c r="A60" s="77" t="s">
        <v>232</v>
      </c>
      <c r="B60" s="84" t="s">
        <v>169</v>
      </c>
      <c r="C60" s="84" t="s">
        <v>56</v>
      </c>
      <c r="D60" s="91">
        <f>D61+D62</f>
        <v>9231.13384</v>
      </c>
      <c r="E60" s="38"/>
    </row>
    <row r="61" spans="1:5" s="25" customFormat="1" ht="21" customHeight="1">
      <c r="A61" s="17" t="s">
        <v>914</v>
      </c>
      <c r="B61" s="21" t="s">
        <v>169</v>
      </c>
      <c r="C61" s="21" t="s">
        <v>56</v>
      </c>
      <c r="D61" s="83">
        <v>6891.46</v>
      </c>
      <c r="E61" s="38"/>
    </row>
    <row r="62" spans="1:5" s="25" customFormat="1" ht="21" customHeight="1">
      <c r="A62" s="17" t="s">
        <v>915</v>
      </c>
      <c r="B62" s="21" t="s">
        <v>169</v>
      </c>
      <c r="C62" s="21" t="s">
        <v>56</v>
      </c>
      <c r="D62" s="83">
        <f>180+530+498.67384+1131</f>
        <v>2339.67384</v>
      </c>
      <c r="E62" s="38"/>
    </row>
    <row r="63" spans="1:5" s="25" customFormat="1" ht="21" customHeight="1">
      <c r="A63" s="77" t="s">
        <v>916</v>
      </c>
      <c r="B63" s="84" t="s">
        <v>169</v>
      </c>
      <c r="C63" s="84" t="s">
        <v>57</v>
      </c>
      <c r="D63" s="91">
        <f>D67+D68</f>
        <v>4330.04031</v>
      </c>
      <c r="E63" s="38"/>
    </row>
    <row r="64" spans="1:5" s="25" customFormat="1" ht="31.5" customHeight="1" hidden="1">
      <c r="A64" s="17" t="s">
        <v>233</v>
      </c>
      <c r="B64" s="21" t="s">
        <v>169</v>
      </c>
      <c r="C64" s="21" t="s">
        <v>57</v>
      </c>
      <c r="D64" s="86">
        <f>D65+D66</f>
        <v>0</v>
      </c>
      <c r="E64" s="38"/>
    </row>
    <row r="65" spans="1:5" s="25" customFormat="1" ht="42" customHeight="1" hidden="1">
      <c r="A65" s="17" t="s">
        <v>233</v>
      </c>
      <c r="B65" s="21" t="s">
        <v>169</v>
      </c>
      <c r="C65" s="21" t="s">
        <v>57</v>
      </c>
      <c r="D65" s="83"/>
      <c r="E65" s="82"/>
    </row>
    <row r="66" spans="1:5" s="25" customFormat="1" ht="59.25" customHeight="1" hidden="1">
      <c r="A66" s="17" t="s">
        <v>233</v>
      </c>
      <c r="B66" s="21" t="s">
        <v>169</v>
      </c>
      <c r="C66" s="21" t="s">
        <v>57</v>
      </c>
      <c r="D66" s="83"/>
      <c r="E66" s="82"/>
    </row>
    <row r="67" spans="1:5" s="25" customFormat="1" ht="18" customHeight="1">
      <c r="A67" s="17" t="s">
        <v>917</v>
      </c>
      <c r="B67" s="21" t="s">
        <v>169</v>
      </c>
      <c r="C67" s="21" t="s">
        <v>57</v>
      </c>
      <c r="D67" s="83">
        <v>3145.94</v>
      </c>
      <c r="E67" s="82"/>
    </row>
    <row r="68" spans="1:5" s="25" customFormat="1" ht="18.75" customHeight="1">
      <c r="A68" s="17" t="s">
        <v>918</v>
      </c>
      <c r="B68" s="21" t="s">
        <v>169</v>
      </c>
      <c r="C68" s="21" t="s">
        <v>57</v>
      </c>
      <c r="D68" s="83">
        <f>450+209.10031+525</f>
        <v>1184.10031</v>
      </c>
      <c r="E68" s="82"/>
    </row>
    <row r="69" spans="1:5" s="19" customFormat="1" ht="17.25" customHeight="1">
      <c r="A69" s="53" t="s">
        <v>284</v>
      </c>
      <c r="B69" s="72" t="s">
        <v>394</v>
      </c>
      <c r="C69" s="72" t="s">
        <v>59</v>
      </c>
      <c r="D69" s="92">
        <f>D70</f>
        <v>42</v>
      </c>
      <c r="E69" s="104"/>
    </row>
    <row r="70" spans="1:4" s="39" customFormat="1" ht="17.25" customHeight="1">
      <c r="A70" s="17" t="s">
        <v>772</v>
      </c>
      <c r="B70" s="21" t="s">
        <v>394</v>
      </c>
      <c r="C70" s="21" t="s">
        <v>60</v>
      </c>
      <c r="D70" s="83">
        <f>30+20-8</f>
        <v>42</v>
      </c>
    </row>
    <row r="71" spans="1:5" s="19" customFormat="1" ht="17.25" customHeight="1">
      <c r="A71" s="53" t="s">
        <v>441</v>
      </c>
      <c r="B71" s="72" t="s">
        <v>394</v>
      </c>
      <c r="C71" s="72" t="s">
        <v>61</v>
      </c>
      <c r="D71" s="92">
        <f>D72+D73</f>
        <v>1117.13743</v>
      </c>
      <c r="E71" s="104"/>
    </row>
    <row r="72" spans="1:4" s="39" customFormat="1" ht="45" customHeight="1">
      <c r="A72" s="17" t="s">
        <v>707</v>
      </c>
      <c r="B72" s="21" t="s">
        <v>394</v>
      </c>
      <c r="C72" s="21" t="s">
        <v>62</v>
      </c>
      <c r="D72" s="83">
        <f>896.82255+173.41688</f>
        <v>1070.23943</v>
      </c>
    </row>
    <row r="73" spans="1:4" s="39" customFormat="1" ht="32.25" customHeight="1">
      <c r="A73" s="17" t="s">
        <v>835</v>
      </c>
      <c r="B73" s="21" t="s">
        <v>394</v>
      </c>
      <c r="C73" s="21" t="s">
        <v>834</v>
      </c>
      <c r="D73" s="83">
        <v>46.898</v>
      </c>
    </row>
    <row r="74" spans="1:5" s="19" customFormat="1" ht="18.75" customHeight="1">
      <c r="A74" s="53" t="s">
        <v>285</v>
      </c>
      <c r="B74" s="72" t="s">
        <v>394</v>
      </c>
      <c r="C74" s="72" t="s">
        <v>63</v>
      </c>
      <c r="D74" s="92">
        <f>D75+D76</f>
        <v>44848.80118</v>
      </c>
      <c r="E74" s="104"/>
    </row>
    <row r="75" spans="1:4" s="25" customFormat="1" ht="31.5" customHeight="1">
      <c r="A75" s="17" t="s">
        <v>171</v>
      </c>
      <c r="B75" s="21" t="s">
        <v>394</v>
      </c>
      <c r="C75" s="21" t="s">
        <v>64</v>
      </c>
      <c r="D75" s="83">
        <f>40712.73+200+210+865</f>
        <v>41987.73</v>
      </c>
    </row>
    <row r="76" spans="1:5" s="25" customFormat="1" ht="42" customHeight="1">
      <c r="A76" s="17" t="s">
        <v>517</v>
      </c>
      <c r="B76" s="21" t="s">
        <v>394</v>
      </c>
      <c r="C76" s="21" t="s">
        <v>64</v>
      </c>
      <c r="D76" s="83">
        <f>1630.957+1338.5+90-226.79433+28.40851</f>
        <v>2861.0711800000004</v>
      </c>
      <c r="E76" s="82"/>
    </row>
    <row r="77" spans="1:5" s="19" customFormat="1" ht="17.25" customHeight="1">
      <c r="A77" s="53" t="s">
        <v>28</v>
      </c>
      <c r="B77" s="72" t="s">
        <v>394</v>
      </c>
      <c r="C77" s="72" t="s">
        <v>27</v>
      </c>
      <c r="D77" s="92">
        <f>D78+D79</f>
        <v>150</v>
      </c>
      <c r="E77" s="104"/>
    </row>
    <row r="78" spans="1:5" s="22" customFormat="1" ht="15.75" customHeight="1">
      <c r="A78" s="17" t="s">
        <v>383</v>
      </c>
      <c r="B78" s="13">
        <v>951</v>
      </c>
      <c r="C78" s="21" t="s">
        <v>30</v>
      </c>
      <c r="D78" s="83">
        <v>111</v>
      </c>
      <c r="E78" s="37"/>
    </row>
    <row r="79" spans="1:4" s="39" customFormat="1" ht="15.75" customHeight="1">
      <c r="A79" s="17" t="s">
        <v>323</v>
      </c>
      <c r="B79" s="13">
        <v>951</v>
      </c>
      <c r="C79" s="21" t="s">
        <v>79</v>
      </c>
      <c r="D79" s="83">
        <v>39</v>
      </c>
    </row>
    <row r="80" spans="1:5" s="19" customFormat="1" ht="17.25" customHeight="1">
      <c r="A80" s="53" t="s">
        <v>459</v>
      </c>
      <c r="B80" s="72" t="s">
        <v>169</v>
      </c>
      <c r="C80" s="72" t="s">
        <v>32</v>
      </c>
      <c r="D80" s="92">
        <f>D81</f>
        <v>83</v>
      </c>
      <c r="E80" s="104"/>
    </row>
    <row r="81" spans="1:5" s="25" customFormat="1" ht="18" customHeight="1">
      <c r="A81" s="17" t="s">
        <v>313</v>
      </c>
      <c r="B81" s="21" t="s">
        <v>169</v>
      </c>
      <c r="C81" s="21" t="s">
        <v>658</v>
      </c>
      <c r="D81" s="83">
        <v>83</v>
      </c>
      <c r="E81" s="49"/>
    </row>
    <row r="82" spans="1:5" s="25" customFormat="1" ht="47.25" customHeight="1" hidden="1">
      <c r="A82" s="53" t="s">
        <v>479</v>
      </c>
      <c r="B82" s="72" t="s">
        <v>394</v>
      </c>
      <c r="C82" s="72" t="s">
        <v>44</v>
      </c>
      <c r="D82" s="92">
        <f>D83</f>
        <v>0</v>
      </c>
      <c r="E82" s="49"/>
    </row>
    <row r="83" spans="1:5" s="25" customFormat="1" ht="29.25" customHeight="1" hidden="1">
      <c r="A83" s="17" t="s">
        <v>480</v>
      </c>
      <c r="B83" s="21" t="s">
        <v>394</v>
      </c>
      <c r="C83" s="21" t="s">
        <v>45</v>
      </c>
      <c r="D83" s="83">
        <v>0</v>
      </c>
      <c r="E83" s="49"/>
    </row>
    <row r="84" spans="1:4" s="25" customFormat="1" ht="49.5" customHeight="1">
      <c r="A84" s="77" t="s">
        <v>462</v>
      </c>
      <c r="B84" s="84" t="s">
        <v>391</v>
      </c>
      <c r="C84" s="84" t="s">
        <v>66</v>
      </c>
      <c r="D84" s="91">
        <f>D85+D86+D87</f>
        <v>571.0791</v>
      </c>
    </row>
    <row r="85" spans="1:4" s="25" customFormat="1" ht="14.25" customHeight="1">
      <c r="A85" s="17" t="s">
        <v>110</v>
      </c>
      <c r="B85" s="21" t="s">
        <v>394</v>
      </c>
      <c r="C85" s="21" t="s">
        <v>68</v>
      </c>
      <c r="D85" s="83">
        <v>380</v>
      </c>
    </row>
    <row r="86" spans="1:4" s="25" customFormat="1" ht="15" customHeight="1">
      <c r="A86" s="17" t="s">
        <v>168</v>
      </c>
      <c r="B86" s="21" t="s">
        <v>394</v>
      </c>
      <c r="C86" s="21" t="s">
        <v>69</v>
      </c>
      <c r="D86" s="83">
        <f>218-28.9209</f>
        <v>189.0791</v>
      </c>
    </row>
    <row r="87" spans="1:4" s="25" customFormat="1" ht="15" customHeight="1">
      <c r="A87" s="17" t="s">
        <v>322</v>
      </c>
      <c r="B87" s="21" t="s">
        <v>169</v>
      </c>
      <c r="C87" s="21" t="s">
        <v>80</v>
      </c>
      <c r="D87" s="83">
        <v>2</v>
      </c>
    </row>
    <row r="88" spans="1:5" s="315" customFormat="1" ht="48" customHeight="1" hidden="1">
      <c r="A88" s="103" t="s">
        <v>414</v>
      </c>
      <c r="B88" s="84" t="s">
        <v>169</v>
      </c>
      <c r="C88" s="78" t="s">
        <v>25</v>
      </c>
      <c r="D88" s="91">
        <f>D89+D90</f>
        <v>0</v>
      </c>
      <c r="E88" s="314"/>
    </row>
    <row r="89" spans="1:5" s="316" customFormat="1" ht="48.75" customHeight="1" hidden="1">
      <c r="A89" s="97" t="s">
        <v>108</v>
      </c>
      <c r="B89" s="21" t="s">
        <v>169</v>
      </c>
      <c r="C89" s="35" t="s">
        <v>443</v>
      </c>
      <c r="D89" s="83"/>
      <c r="E89" s="37"/>
    </row>
    <row r="90" spans="1:5" s="40" customFormat="1" ht="48.75" customHeight="1" hidden="1">
      <c r="A90" s="17" t="s">
        <v>109</v>
      </c>
      <c r="B90" s="21" t="s">
        <v>169</v>
      </c>
      <c r="C90" s="35" t="s">
        <v>94</v>
      </c>
      <c r="D90" s="83"/>
      <c r="E90" s="25"/>
    </row>
    <row r="91" spans="1:5" s="29" customFormat="1" ht="33.75" customHeight="1">
      <c r="A91" s="77" t="s">
        <v>463</v>
      </c>
      <c r="B91" s="84" t="s">
        <v>391</v>
      </c>
      <c r="C91" s="84" t="s">
        <v>33</v>
      </c>
      <c r="D91" s="91">
        <f>SUM(D92:D97)</f>
        <v>2134</v>
      </c>
      <c r="E91" s="39"/>
    </row>
    <row r="92" spans="1:4" s="39" customFormat="1" ht="15" customHeight="1">
      <c r="A92" s="17" t="s">
        <v>111</v>
      </c>
      <c r="B92" s="21" t="s">
        <v>394</v>
      </c>
      <c r="C92" s="21" t="s">
        <v>70</v>
      </c>
      <c r="D92" s="83">
        <v>4</v>
      </c>
    </row>
    <row r="93" spans="1:4" s="39" customFormat="1" ht="15" customHeight="1">
      <c r="A93" s="17" t="s">
        <v>827</v>
      </c>
      <c r="B93" s="21" t="s">
        <v>394</v>
      </c>
      <c r="C93" s="21" t="s">
        <v>70</v>
      </c>
      <c r="D93" s="83">
        <f>2120-112.5-78.189</f>
        <v>1929.311</v>
      </c>
    </row>
    <row r="94" spans="1:4" s="39" customFormat="1" ht="15" customHeight="1">
      <c r="A94" s="17" t="s">
        <v>668</v>
      </c>
      <c r="B94" s="21" t="s">
        <v>169</v>
      </c>
      <c r="C94" s="21" t="s">
        <v>35</v>
      </c>
      <c r="D94" s="83">
        <v>10</v>
      </c>
    </row>
    <row r="95" spans="1:4" s="39" customFormat="1" ht="15" customHeight="1" hidden="1">
      <c r="A95" s="17" t="s">
        <v>322</v>
      </c>
      <c r="B95" s="21" t="s">
        <v>169</v>
      </c>
      <c r="C95" s="21" t="s">
        <v>660</v>
      </c>
      <c r="D95" s="83"/>
    </row>
    <row r="96" spans="1:4" s="39" customFormat="1" ht="27" customHeight="1">
      <c r="A96" s="17" t="s">
        <v>875</v>
      </c>
      <c r="B96" s="21" t="s">
        <v>394</v>
      </c>
      <c r="C96" s="21" t="s">
        <v>873</v>
      </c>
      <c r="D96" s="83">
        <f>25+87.5+78.189</f>
        <v>190.689</v>
      </c>
    </row>
    <row r="97" spans="1:4" s="39" customFormat="1" ht="15" customHeight="1" hidden="1">
      <c r="A97" s="17" t="s">
        <v>874</v>
      </c>
      <c r="B97" s="21" t="s">
        <v>394</v>
      </c>
      <c r="C97" s="21"/>
      <c r="D97" s="83"/>
    </row>
    <row r="98" spans="1:6" s="29" customFormat="1" ht="32.25" customHeight="1">
      <c r="A98" s="77" t="s">
        <v>458</v>
      </c>
      <c r="B98" s="84" t="s">
        <v>391</v>
      </c>
      <c r="C98" s="84" t="s">
        <v>86</v>
      </c>
      <c r="D98" s="91">
        <f>D99+D103+D104+D111+D114</f>
        <v>963</v>
      </c>
      <c r="E98" s="89"/>
      <c r="F98" s="317"/>
    </row>
    <row r="99" spans="1:6" s="39" customFormat="1" ht="15.75" customHeight="1">
      <c r="A99" s="17" t="s">
        <v>277</v>
      </c>
      <c r="B99" s="21" t="s">
        <v>169</v>
      </c>
      <c r="C99" s="21" t="s">
        <v>87</v>
      </c>
      <c r="D99" s="83">
        <f>150+156.8+130+145.22+26.98+133.86264</f>
        <v>742.86264</v>
      </c>
      <c r="E99" s="89"/>
      <c r="F99" s="89"/>
    </row>
    <row r="100" spans="1:5" s="29" customFormat="1" ht="46.5" customHeight="1" hidden="1">
      <c r="A100" s="77" t="s">
        <v>124</v>
      </c>
      <c r="B100" s="21" t="s">
        <v>600</v>
      </c>
      <c r="C100" s="21" t="s">
        <v>724</v>
      </c>
      <c r="D100" s="91">
        <f>D101</f>
        <v>0</v>
      </c>
      <c r="E100" s="39"/>
    </row>
    <row r="101" spans="1:5" s="41" customFormat="1" ht="15" customHeight="1" hidden="1">
      <c r="A101" s="77" t="s">
        <v>308</v>
      </c>
      <c r="B101" s="21" t="s">
        <v>601</v>
      </c>
      <c r="C101" s="21" t="s">
        <v>725</v>
      </c>
      <c r="D101" s="91">
        <f>D102</f>
        <v>0</v>
      </c>
      <c r="E101" s="87"/>
    </row>
    <row r="102" spans="1:4" s="39" customFormat="1" ht="60.75" customHeight="1" hidden="1">
      <c r="A102" s="17" t="s">
        <v>278</v>
      </c>
      <c r="B102" s="21" t="s">
        <v>602</v>
      </c>
      <c r="C102" s="21" t="s">
        <v>726</v>
      </c>
      <c r="D102" s="83">
        <v>0</v>
      </c>
    </row>
    <row r="103" spans="1:4" s="39" customFormat="1" ht="30.75" customHeight="1">
      <c r="A103" s="17" t="s">
        <v>727</v>
      </c>
      <c r="B103" s="21" t="s">
        <v>169</v>
      </c>
      <c r="C103" s="21" t="s">
        <v>723</v>
      </c>
      <c r="D103" s="83">
        <f>375+212+40-373+100-133.86264</f>
        <v>220.13736</v>
      </c>
    </row>
    <row r="104" spans="1:4" s="39" customFormat="1" ht="27.75" customHeight="1" hidden="1">
      <c r="A104" s="73" t="s">
        <v>576</v>
      </c>
      <c r="B104" s="85" t="s">
        <v>169</v>
      </c>
      <c r="C104" s="71"/>
      <c r="D104" s="86">
        <f>SUM(D105:D110)</f>
        <v>0</v>
      </c>
    </row>
    <row r="105" spans="1:5" s="39" customFormat="1" ht="48" customHeight="1" hidden="1">
      <c r="A105" s="17" t="s">
        <v>603</v>
      </c>
      <c r="B105" s="21" t="s">
        <v>169</v>
      </c>
      <c r="C105" s="35" t="s">
        <v>577</v>
      </c>
      <c r="D105" s="83">
        <v>0</v>
      </c>
      <c r="E105" s="88"/>
    </row>
    <row r="106" spans="1:5" s="39" customFormat="1" ht="19.5" customHeight="1" hidden="1">
      <c r="A106" s="17" t="s">
        <v>689</v>
      </c>
      <c r="B106" s="21" t="s">
        <v>169</v>
      </c>
      <c r="C106" s="35" t="s">
        <v>577</v>
      </c>
      <c r="D106" s="83"/>
      <c r="E106" s="88"/>
    </row>
    <row r="107" spans="1:4" s="39" customFormat="1" ht="57.75" customHeight="1" hidden="1">
      <c r="A107" s="17" t="s">
        <v>689</v>
      </c>
      <c r="B107" s="21" t="s">
        <v>169</v>
      </c>
      <c r="C107" s="35" t="s">
        <v>579</v>
      </c>
      <c r="D107" s="83"/>
    </row>
    <row r="108" spans="1:4" s="39" customFormat="1" ht="18" customHeight="1" hidden="1">
      <c r="A108" s="17" t="s">
        <v>689</v>
      </c>
      <c r="B108" s="21" t="s">
        <v>394</v>
      </c>
      <c r="C108" s="35" t="s">
        <v>577</v>
      </c>
      <c r="D108" s="83"/>
    </row>
    <row r="109" spans="1:4" s="39" customFormat="1" ht="21" customHeight="1" hidden="1">
      <c r="A109" s="17" t="s">
        <v>690</v>
      </c>
      <c r="B109" s="21" t="s">
        <v>169</v>
      </c>
      <c r="C109" s="35" t="s">
        <v>579</v>
      </c>
      <c r="D109" s="83">
        <f>86+40-40-86</f>
        <v>0</v>
      </c>
    </row>
    <row r="110" spans="1:4" s="39" customFormat="1" ht="18" customHeight="1" hidden="1">
      <c r="A110" s="17" t="s">
        <v>690</v>
      </c>
      <c r="B110" s="21" t="s">
        <v>600</v>
      </c>
      <c r="C110" s="35" t="s">
        <v>579</v>
      </c>
      <c r="D110" s="83"/>
    </row>
    <row r="111" spans="1:4" s="39" customFormat="1" ht="28.5" customHeight="1" hidden="1">
      <c r="A111" s="73" t="s">
        <v>688</v>
      </c>
      <c r="B111" s="21" t="s">
        <v>601</v>
      </c>
      <c r="C111" s="35"/>
      <c r="D111" s="86">
        <f>D112+D113</f>
        <v>0</v>
      </c>
    </row>
    <row r="112" spans="1:4" s="39" customFormat="1" ht="17.25" customHeight="1" hidden="1">
      <c r="A112" s="17" t="s">
        <v>717</v>
      </c>
      <c r="B112" s="21" t="s">
        <v>602</v>
      </c>
      <c r="C112" s="35" t="s">
        <v>691</v>
      </c>
      <c r="D112" s="83"/>
    </row>
    <row r="113" spans="1:4" s="39" customFormat="1" ht="17.25" customHeight="1" hidden="1">
      <c r="A113" s="17" t="s">
        <v>718</v>
      </c>
      <c r="B113" s="21" t="s">
        <v>776</v>
      </c>
      <c r="C113" s="35" t="s">
        <v>692</v>
      </c>
      <c r="D113" s="83"/>
    </row>
    <row r="114" spans="1:4" s="39" customFormat="1" ht="30" customHeight="1" hidden="1">
      <c r="A114" s="73" t="s">
        <v>728</v>
      </c>
      <c r="B114" s="21" t="s">
        <v>777</v>
      </c>
      <c r="C114" s="71"/>
      <c r="D114" s="86">
        <f>D115+D116</f>
        <v>0</v>
      </c>
    </row>
    <row r="115" spans="1:4" s="39" customFormat="1" ht="43.5" customHeight="1" hidden="1">
      <c r="A115" s="17" t="s">
        <v>733</v>
      </c>
      <c r="B115" s="21" t="s">
        <v>778</v>
      </c>
      <c r="C115" s="35" t="s">
        <v>729</v>
      </c>
      <c r="D115" s="83"/>
    </row>
    <row r="116" spans="1:4" s="39" customFormat="1" ht="57.75" customHeight="1" hidden="1">
      <c r="A116" s="17" t="s">
        <v>731</v>
      </c>
      <c r="B116" s="21" t="s">
        <v>779</v>
      </c>
      <c r="C116" s="35" t="s">
        <v>732</v>
      </c>
      <c r="D116" s="83"/>
    </row>
    <row r="117" spans="1:5" s="318" customFormat="1" ht="35.25" customHeight="1" hidden="1">
      <c r="A117" s="77" t="s">
        <v>788</v>
      </c>
      <c r="B117" s="84" t="s">
        <v>391</v>
      </c>
      <c r="C117" s="84" t="s">
        <v>82</v>
      </c>
      <c r="D117" s="91">
        <f>D118</f>
        <v>0</v>
      </c>
      <c r="E117" s="39"/>
    </row>
    <row r="118" spans="1:5" s="41" customFormat="1" ht="28.5" customHeight="1" hidden="1">
      <c r="A118" s="17" t="s">
        <v>197</v>
      </c>
      <c r="B118" s="21" t="s">
        <v>169</v>
      </c>
      <c r="C118" s="21" t="s">
        <v>83</v>
      </c>
      <c r="D118" s="83">
        <f>200-200</f>
        <v>0</v>
      </c>
      <c r="E118" s="87"/>
    </row>
    <row r="119" spans="1:6" s="41" customFormat="1" ht="32.25" customHeight="1">
      <c r="A119" s="77" t="s">
        <v>464</v>
      </c>
      <c r="B119" s="84" t="s">
        <v>391</v>
      </c>
      <c r="C119" s="78" t="s">
        <v>71</v>
      </c>
      <c r="D119" s="91">
        <f>D120+D134+D142+D149</f>
        <v>19962.53709</v>
      </c>
      <c r="E119" s="314"/>
      <c r="F119" s="319"/>
    </row>
    <row r="120" spans="1:5" s="39" customFormat="1" ht="37.5" customHeight="1">
      <c r="A120" s="73" t="s">
        <v>513</v>
      </c>
      <c r="B120" s="21" t="s">
        <v>169</v>
      </c>
      <c r="C120" s="71" t="s">
        <v>73</v>
      </c>
      <c r="D120" s="86">
        <f>D122+D125+D126+D130+D131</f>
        <v>13092.918900000002</v>
      </c>
      <c r="E120" s="45"/>
    </row>
    <row r="121" spans="1:4" s="39" customFormat="1" ht="15" customHeight="1" hidden="1">
      <c r="A121" s="17" t="s">
        <v>208</v>
      </c>
      <c r="B121" s="21" t="s">
        <v>780</v>
      </c>
      <c r="C121" s="35" t="s">
        <v>209</v>
      </c>
      <c r="D121" s="83"/>
    </row>
    <row r="122" spans="1:5" s="39" customFormat="1" ht="15" customHeight="1">
      <c r="A122" s="77" t="s">
        <v>518</v>
      </c>
      <c r="B122" s="84" t="s">
        <v>169</v>
      </c>
      <c r="C122" s="78" t="s">
        <v>74</v>
      </c>
      <c r="D122" s="91">
        <f>D123+D124</f>
        <v>9013.82212</v>
      </c>
      <c r="E122" s="89"/>
    </row>
    <row r="123" spans="1:5" s="39" customFormat="1" ht="17.25" customHeight="1">
      <c r="A123" s="17" t="s">
        <v>919</v>
      </c>
      <c r="B123" s="21" t="s">
        <v>169</v>
      </c>
      <c r="C123" s="35" t="s">
        <v>74</v>
      </c>
      <c r="D123" s="83">
        <f>6050.4898+163+0.00032+218.332</f>
        <v>6431.822120000001</v>
      </c>
      <c r="E123" s="89"/>
    </row>
    <row r="124" spans="1:5" s="39" customFormat="1" ht="18" customHeight="1">
      <c r="A124" s="17" t="s">
        <v>920</v>
      </c>
      <c r="B124" s="21" t="s">
        <v>169</v>
      </c>
      <c r="C124" s="35" t="s">
        <v>74</v>
      </c>
      <c r="D124" s="83">
        <f>100+1755.1+726.9</f>
        <v>2582</v>
      </c>
      <c r="E124" s="89"/>
    </row>
    <row r="125" spans="1:4" s="39" customFormat="1" ht="27" customHeight="1">
      <c r="A125" s="17" t="s">
        <v>112</v>
      </c>
      <c r="B125" s="21" t="s">
        <v>169</v>
      </c>
      <c r="C125" s="35" t="s">
        <v>92</v>
      </c>
      <c r="D125" s="83">
        <f>1620+411.6+23.52741</f>
        <v>2055.12741</v>
      </c>
    </row>
    <row r="126" spans="1:5" s="39" customFormat="1" ht="33.75" customHeight="1">
      <c r="A126" s="53" t="s">
        <v>561</v>
      </c>
      <c r="B126" s="72" t="s">
        <v>169</v>
      </c>
      <c r="C126" s="57" t="s">
        <v>604</v>
      </c>
      <c r="D126" s="92">
        <f>D127+D128+D129</f>
        <v>1821.94917</v>
      </c>
      <c r="E126" s="89"/>
    </row>
    <row r="127" spans="1:5" s="39" customFormat="1" ht="42.75" customHeight="1">
      <c r="A127" s="17" t="s">
        <v>562</v>
      </c>
      <c r="B127" s="21" t="s">
        <v>169</v>
      </c>
      <c r="C127" s="35" t="s">
        <v>563</v>
      </c>
      <c r="D127" s="83">
        <f>1803.73</f>
        <v>1803.73</v>
      </c>
      <c r="E127" s="88"/>
    </row>
    <row r="128" spans="1:5" s="39" customFormat="1" ht="57.75" customHeight="1">
      <c r="A128" s="17" t="s">
        <v>605</v>
      </c>
      <c r="B128" s="21" t="s">
        <v>169</v>
      </c>
      <c r="C128" s="35" t="s">
        <v>563</v>
      </c>
      <c r="D128" s="83">
        <v>2.18634</v>
      </c>
      <c r="E128" s="88"/>
    </row>
    <row r="129" spans="1:5" s="39" customFormat="1" ht="60" customHeight="1">
      <c r="A129" s="17" t="s">
        <v>605</v>
      </c>
      <c r="B129" s="21" t="s">
        <v>169</v>
      </c>
      <c r="C129" s="35" t="s">
        <v>564</v>
      </c>
      <c r="D129" s="83">
        <f>18.21949+2-2-0.00032-2.18634</f>
        <v>16.03283</v>
      </c>
      <c r="E129" s="89"/>
    </row>
    <row r="130" spans="1:5" s="39" customFormat="1" ht="57" customHeight="1" hidden="1">
      <c r="A130" s="17" t="s">
        <v>747</v>
      </c>
      <c r="B130" s="21" t="s">
        <v>169</v>
      </c>
      <c r="C130" s="35" t="s">
        <v>775</v>
      </c>
      <c r="D130" s="83">
        <f>25-25</f>
        <v>0</v>
      </c>
      <c r="E130" s="89"/>
    </row>
    <row r="131" spans="1:5" s="39" customFormat="1" ht="31.5" customHeight="1">
      <c r="A131" s="53" t="s">
        <v>857</v>
      </c>
      <c r="B131" s="72" t="s">
        <v>169</v>
      </c>
      <c r="C131" s="57" t="s">
        <v>72</v>
      </c>
      <c r="D131" s="92">
        <f>D132+D133</f>
        <v>202.0202</v>
      </c>
      <c r="E131" s="89"/>
    </row>
    <row r="132" spans="1:5" s="39" customFormat="1" ht="32.25" customHeight="1">
      <c r="A132" s="17" t="s">
        <v>858</v>
      </c>
      <c r="B132" s="21" t="s">
        <v>169</v>
      </c>
      <c r="C132" s="35" t="s">
        <v>860</v>
      </c>
      <c r="D132" s="83">
        <v>200</v>
      </c>
      <c r="E132" s="89"/>
    </row>
    <row r="133" spans="1:5" s="39" customFormat="1" ht="45.75" customHeight="1">
      <c r="A133" s="17" t="s">
        <v>859</v>
      </c>
      <c r="B133" s="21" t="s">
        <v>169</v>
      </c>
      <c r="C133" s="35" t="s">
        <v>861</v>
      </c>
      <c r="D133" s="83">
        <v>2.0202</v>
      </c>
      <c r="E133" s="89"/>
    </row>
    <row r="134" spans="1:4" s="39" customFormat="1" ht="44.25" customHeight="1">
      <c r="A134" s="73" t="s">
        <v>514</v>
      </c>
      <c r="B134" s="85" t="s">
        <v>169</v>
      </c>
      <c r="C134" s="71" t="s">
        <v>75</v>
      </c>
      <c r="D134" s="86">
        <f>D136+D139</f>
        <v>3633.5111899999993</v>
      </c>
    </row>
    <row r="135" spans="1:4" s="39" customFormat="1" ht="15" customHeight="1" hidden="1">
      <c r="A135" s="17" t="s">
        <v>210</v>
      </c>
      <c r="B135" s="21" t="s">
        <v>782</v>
      </c>
      <c r="C135" s="35" t="s">
        <v>211</v>
      </c>
      <c r="D135" s="83"/>
    </row>
    <row r="136" spans="1:4" s="39" customFormat="1" ht="15" customHeight="1">
      <c r="A136" s="77" t="s">
        <v>921</v>
      </c>
      <c r="B136" s="84" t="s">
        <v>169</v>
      </c>
      <c r="C136" s="78" t="s">
        <v>75</v>
      </c>
      <c r="D136" s="91">
        <f>D137+D138</f>
        <v>3404.7809999999995</v>
      </c>
    </row>
    <row r="137" spans="1:4" s="39" customFormat="1" ht="15" customHeight="1">
      <c r="A137" s="17" t="s">
        <v>922</v>
      </c>
      <c r="B137" s="21" t="s">
        <v>169</v>
      </c>
      <c r="C137" s="35" t="s">
        <v>75</v>
      </c>
      <c r="D137" s="83">
        <f>2109.24+67+337.941</f>
        <v>2514.1809999999996</v>
      </c>
    </row>
    <row r="138" spans="1:5" s="39" customFormat="1" ht="15" customHeight="1">
      <c r="A138" s="17" t="s">
        <v>923</v>
      </c>
      <c r="B138" s="21" t="s">
        <v>169</v>
      </c>
      <c r="C138" s="35" t="s">
        <v>75</v>
      </c>
      <c r="D138" s="83">
        <f>67+245+578.6</f>
        <v>890.6</v>
      </c>
      <c r="E138" s="89"/>
    </row>
    <row r="139" spans="1:5" s="39" customFormat="1" ht="30" customHeight="1">
      <c r="A139" s="53" t="s">
        <v>565</v>
      </c>
      <c r="B139" s="72" t="s">
        <v>169</v>
      </c>
      <c r="C139" s="57" t="s">
        <v>566</v>
      </c>
      <c r="D139" s="92">
        <f>D140+D141</f>
        <v>228.73019</v>
      </c>
      <c r="E139" s="89"/>
    </row>
    <row r="140" spans="1:5" s="39" customFormat="1" ht="44.25" customHeight="1">
      <c r="A140" s="17" t="s">
        <v>606</v>
      </c>
      <c r="B140" s="21" t="s">
        <v>783</v>
      </c>
      <c r="C140" s="35" t="s">
        <v>567</v>
      </c>
      <c r="D140" s="83">
        <v>226.44289</v>
      </c>
      <c r="E140" s="88"/>
    </row>
    <row r="141" spans="1:5" s="39" customFormat="1" ht="54" customHeight="1">
      <c r="A141" s="17" t="s">
        <v>607</v>
      </c>
      <c r="B141" s="21" t="s">
        <v>169</v>
      </c>
      <c r="C141" s="35" t="s">
        <v>568</v>
      </c>
      <c r="D141" s="83">
        <v>2.2873</v>
      </c>
      <c r="E141" s="89"/>
    </row>
    <row r="142" spans="1:4" s="39" customFormat="1" ht="54.75" customHeight="1">
      <c r="A142" s="73" t="s">
        <v>515</v>
      </c>
      <c r="B142" s="85" t="s">
        <v>169</v>
      </c>
      <c r="C142" s="71" t="s">
        <v>76</v>
      </c>
      <c r="D142" s="86">
        <f>D143</f>
        <v>1782.8410000000001</v>
      </c>
    </row>
    <row r="143" spans="1:4" s="39" customFormat="1" ht="16.5" customHeight="1">
      <c r="A143" s="77" t="s">
        <v>924</v>
      </c>
      <c r="B143" s="84" t="s">
        <v>169</v>
      </c>
      <c r="C143" s="78" t="s">
        <v>76</v>
      </c>
      <c r="D143" s="91">
        <f>D147+D148</f>
        <v>1782.8410000000001</v>
      </c>
    </row>
    <row r="144" spans="1:5" s="25" customFormat="1" ht="42" customHeight="1" hidden="1">
      <c r="A144" s="17" t="s">
        <v>924</v>
      </c>
      <c r="B144" s="21" t="s">
        <v>169</v>
      </c>
      <c r="C144" s="35" t="s">
        <v>76</v>
      </c>
      <c r="D144" s="86">
        <f>D145+D146</f>
        <v>0</v>
      </c>
      <c r="E144" s="38"/>
    </row>
    <row r="145" spans="1:5" s="25" customFormat="1" ht="44.25" customHeight="1" hidden="1">
      <c r="A145" s="17" t="s">
        <v>924</v>
      </c>
      <c r="B145" s="21" t="s">
        <v>169</v>
      </c>
      <c r="C145" s="35" t="s">
        <v>76</v>
      </c>
      <c r="D145" s="83"/>
      <c r="E145" s="38"/>
    </row>
    <row r="146" spans="1:5" s="25" customFormat="1" ht="54" customHeight="1" hidden="1">
      <c r="A146" s="17" t="s">
        <v>924</v>
      </c>
      <c r="B146" s="21" t="s">
        <v>169</v>
      </c>
      <c r="C146" s="35" t="s">
        <v>76</v>
      </c>
      <c r="D146" s="83"/>
      <c r="E146" s="38"/>
    </row>
    <row r="147" spans="1:5" s="25" customFormat="1" ht="18" customHeight="1">
      <c r="A147" s="17" t="s">
        <v>925</v>
      </c>
      <c r="B147" s="21" t="s">
        <v>169</v>
      </c>
      <c r="C147" s="35" t="s">
        <v>76</v>
      </c>
      <c r="D147" s="83">
        <f>1181.43+95.611</f>
        <v>1277.0410000000002</v>
      </c>
      <c r="E147" s="38"/>
    </row>
    <row r="148" spans="1:5" s="25" customFormat="1" ht="19.5" customHeight="1">
      <c r="A148" s="17" t="s">
        <v>926</v>
      </c>
      <c r="B148" s="21" t="s">
        <v>169</v>
      </c>
      <c r="C148" s="35" t="s">
        <v>76</v>
      </c>
      <c r="D148" s="83">
        <f>25+217.9+262.9</f>
        <v>505.79999999999995</v>
      </c>
      <c r="E148" s="38"/>
    </row>
    <row r="149" spans="1:5" s="39" customFormat="1" ht="19.5" customHeight="1">
      <c r="A149" s="73" t="s">
        <v>520</v>
      </c>
      <c r="B149" s="85" t="s">
        <v>169</v>
      </c>
      <c r="C149" s="78" t="s">
        <v>77</v>
      </c>
      <c r="D149" s="86">
        <f>D150+D170</f>
        <v>1453.2659999999998</v>
      </c>
      <c r="E149" s="89"/>
    </row>
    <row r="150" spans="1:4" s="39" customFormat="1" ht="30.75" customHeight="1">
      <c r="A150" s="17" t="s">
        <v>927</v>
      </c>
      <c r="B150" s="21" t="s">
        <v>169</v>
      </c>
      <c r="C150" s="35" t="s">
        <v>77</v>
      </c>
      <c r="D150" s="83">
        <f>897.91+157.556</f>
        <v>1055.466</v>
      </c>
    </row>
    <row r="151" spans="1:5" s="41" customFormat="1" ht="29.25" customHeight="1" hidden="1">
      <c r="A151" s="17" t="s">
        <v>519</v>
      </c>
      <c r="B151" s="21" t="s">
        <v>169</v>
      </c>
      <c r="C151" s="35" t="s">
        <v>77</v>
      </c>
      <c r="D151" s="91"/>
      <c r="E151" s="87"/>
    </row>
    <row r="152" spans="1:4" s="39" customFormat="1" ht="18" customHeight="1" hidden="1">
      <c r="A152" s="17" t="s">
        <v>519</v>
      </c>
      <c r="B152" s="21" t="s">
        <v>169</v>
      </c>
      <c r="C152" s="35" t="s">
        <v>77</v>
      </c>
      <c r="D152" s="83"/>
    </row>
    <row r="153" spans="1:4" s="39" customFormat="1" ht="16.5" customHeight="1" hidden="1">
      <c r="A153" s="17" t="s">
        <v>519</v>
      </c>
      <c r="B153" s="21" t="s">
        <v>169</v>
      </c>
      <c r="C153" s="35" t="s">
        <v>77</v>
      </c>
      <c r="D153" s="83"/>
    </row>
    <row r="154" spans="1:4" s="39" customFormat="1" ht="18.75" customHeight="1" hidden="1">
      <c r="A154" s="17" t="s">
        <v>519</v>
      </c>
      <c r="B154" s="21" t="s">
        <v>169</v>
      </c>
      <c r="C154" s="35" t="s">
        <v>77</v>
      </c>
      <c r="D154" s="83"/>
    </row>
    <row r="155" spans="1:4" s="39" customFormat="1" ht="15" customHeight="1" hidden="1">
      <c r="A155" s="17" t="s">
        <v>519</v>
      </c>
      <c r="B155" s="21" t="s">
        <v>169</v>
      </c>
      <c r="C155" s="35" t="s">
        <v>77</v>
      </c>
      <c r="D155" s="83"/>
    </row>
    <row r="156" spans="1:4" s="39" customFormat="1" ht="13.5" customHeight="1" hidden="1">
      <c r="A156" s="17" t="s">
        <v>519</v>
      </c>
      <c r="B156" s="21" t="s">
        <v>169</v>
      </c>
      <c r="C156" s="35" t="s">
        <v>77</v>
      </c>
      <c r="D156" s="83"/>
    </row>
    <row r="157" spans="1:4" s="39" customFormat="1" ht="16.5" customHeight="1" hidden="1">
      <c r="A157" s="17" t="s">
        <v>519</v>
      </c>
      <c r="B157" s="21" t="s">
        <v>169</v>
      </c>
      <c r="C157" s="35" t="s">
        <v>77</v>
      </c>
      <c r="D157" s="83"/>
    </row>
    <row r="158" spans="1:4" s="39" customFormat="1" ht="0.75" customHeight="1" hidden="1">
      <c r="A158" s="17" t="s">
        <v>519</v>
      </c>
      <c r="B158" s="21" t="s">
        <v>169</v>
      </c>
      <c r="C158" s="35" t="s">
        <v>77</v>
      </c>
      <c r="D158" s="83"/>
    </row>
    <row r="159" spans="1:4" s="39" customFormat="1" ht="25.5" customHeight="1" hidden="1">
      <c r="A159" s="17" t="s">
        <v>519</v>
      </c>
      <c r="B159" s="21" t="s">
        <v>169</v>
      </c>
      <c r="C159" s="35" t="s">
        <v>77</v>
      </c>
      <c r="D159" s="83"/>
    </row>
    <row r="160" spans="1:4" s="39" customFormat="1" ht="54.75" customHeight="1" hidden="1">
      <c r="A160" s="17" t="s">
        <v>519</v>
      </c>
      <c r="B160" s="21" t="s">
        <v>169</v>
      </c>
      <c r="C160" s="35" t="s">
        <v>77</v>
      </c>
      <c r="D160" s="83"/>
    </row>
    <row r="161" spans="1:4" s="39" customFormat="1" ht="16.5" customHeight="1" hidden="1">
      <c r="A161" s="17" t="s">
        <v>519</v>
      </c>
      <c r="B161" s="21" t="s">
        <v>169</v>
      </c>
      <c r="C161" s="35" t="s">
        <v>77</v>
      </c>
      <c r="D161" s="83"/>
    </row>
    <row r="162" spans="1:4" s="39" customFormat="1" ht="16.5" customHeight="1" hidden="1">
      <c r="A162" s="17" t="s">
        <v>519</v>
      </c>
      <c r="B162" s="21" t="s">
        <v>169</v>
      </c>
      <c r="C162" s="35" t="s">
        <v>77</v>
      </c>
      <c r="D162" s="83"/>
    </row>
    <row r="163" spans="1:4" s="39" customFormat="1" ht="45.75" customHeight="1" hidden="1">
      <c r="A163" s="17" t="s">
        <v>519</v>
      </c>
      <c r="B163" s="21" t="s">
        <v>169</v>
      </c>
      <c r="C163" s="35" t="s">
        <v>77</v>
      </c>
      <c r="D163" s="83">
        <v>0</v>
      </c>
    </row>
    <row r="164" spans="1:4" s="39" customFormat="1" ht="33" customHeight="1" hidden="1">
      <c r="A164" s="17" t="s">
        <v>519</v>
      </c>
      <c r="B164" s="21" t="s">
        <v>169</v>
      </c>
      <c r="C164" s="35" t="s">
        <v>77</v>
      </c>
      <c r="D164" s="91">
        <f>D165+D166+D167</f>
        <v>0</v>
      </c>
    </row>
    <row r="165" spans="1:4" s="39" customFormat="1" ht="17.25" customHeight="1" hidden="1">
      <c r="A165" s="17" t="s">
        <v>519</v>
      </c>
      <c r="B165" s="21" t="s">
        <v>169</v>
      </c>
      <c r="C165" s="35" t="s">
        <v>77</v>
      </c>
      <c r="D165" s="83">
        <v>0</v>
      </c>
    </row>
    <row r="166" spans="1:4" s="39" customFormat="1" ht="19.5" customHeight="1" hidden="1">
      <c r="A166" s="17" t="s">
        <v>519</v>
      </c>
      <c r="B166" s="21" t="s">
        <v>169</v>
      </c>
      <c r="C166" s="35" t="s">
        <v>77</v>
      </c>
      <c r="D166" s="83"/>
    </row>
    <row r="167" spans="1:4" s="39" customFormat="1" ht="33" customHeight="1" hidden="1">
      <c r="A167" s="17" t="s">
        <v>519</v>
      </c>
      <c r="B167" s="21" t="s">
        <v>169</v>
      </c>
      <c r="C167" s="35" t="s">
        <v>77</v>
      </c>
      <c r="D167" s="83"/>
    </row>
    <row r="168" spans="1:4" s="39" customFormat="1" ht="45" customHeight="1" hidden="1">
      <c r="A168" s="17" t="s">
        <v>519</v>
      </c>
      <c r="B168" s="21" t="s">
        <v>169</v>
      </c>
      <c r="C168" s="35" t="s">
        <v>77</v>
      </c>
      <c r="D168" s="91">
        <f>D169</f>
        <v>0</v>
      </c>
    </row>
    <row r="169" spans="1:4" s="39" customFormat="1" ht="30" customHeight="1" hidden="1">
      <c r="A169" s="17" t="s">
        <v>519</v>
      </c>
      <c r="B169" s="21" t="s">
        <v>169</v>
      </c>
      <c r="C169" s="35" t="s">
        <v>77</v>
      </c>
      <c r="D169" s="83">
        <v>0</v>
      </c>
    </row>
    <row r="170" spans="1:4" s="39" customFormat="1" ht="30" customHeight="1">
      <c r="A170" s="17" t="s">
        <v>928</v>
      </c>
      <c r="B170" s="21" t="s">
        <v>169</v>
      </c>
      <c r="C170" s="35" t="s">
        <v>77</v>
      </c>
      <c r="D170" s="83">
        <f>20+100+277.8</f>
        <v>397.8</v>
      </c>
    </row>
    <row r="171" spans="1:5" s="39" customFormat="1" ht="62.25" customHeight="1">
      <c r="A171" s="77" t="s">
        <v>473</v>
      </c>
      <c r="B171" s="84" t="s">
        <v>391</v>
      </c>
      <c r="C171" s="84" t="s">
        <v>450</v>
      </c>
      <c r="D171" s="91">
        <f>SUM(D172:D180)</f>
        <v>29170.15029</v>
      </c>
      <c r="E171" s="48"/>
    </row>
    <row r="172" spans="1:5" s="39" customFormat="1" ht="30.75" customHeight="1">
      <c r="A172" s="17" t="s">
        <v>38</v>
      </c>
      <c r="B172" s="21" t="s">
        <v>169</v>
      </c>
      <c r="C172" s="35" t="s">
        <v>470</v>
      </c>
      <c r="D172" s="83">
        <f>2300-3.825-5.1-76.334</f>
        <v>2214.7410000000004</v>
      </c>
      <c r="E172" s="48"/>
    </row>
    <row r="173" spans="1:5" s="39" customFormat="1" ht="15.75" customHeight="1" hidden="1">
      <c r="A173" s="17" t="s">
        <v>38</v>
      </c>
      <c r="B173" s="21" t="s">
        <v>784</v>
      </c>
      <c r="C173" s="35" t="s">
        <v>472</v>
      </c>
      <c r="D173" s="83">
        <v>0</v>
      </c>
      <c r="E173" s="48"/>
    </row>
    <row r="174" spans="1:5" s="39" customFormat="1" ht="42.75" customHeight="1">
      <c r="A174" s="17" t="s">
        <v>836</v>
      </c>
      <c r="B174" s="21" t="s">
        <v>169</v>
      </c>
      <c r="C174" s="35" t="s">
        <v>470</v>
      </c>
      <c r="D174" s="83">
        <f>3.825+5.1</f>
        <v>8.925</v>
      </c>
      <c r="E174" s="48"/>
    </row>
    <row r="175" spans="1:5" s="39" customFormat="1" ht="18" customHeight="1">
      <c r="A175" s="17" t="s">
        <v>364</v>
      </c>
      <c r="B175" s="21" t="s">
        <v>169</v>
      </c>
      <c r="C175" s="35" t="s">
        <v>472</v>
      </c>
      <c r="D175" s="83">
        <f>5217-30.30303+9986.48429+161.18502-282-562.18502</f>
        <v>14490.181260000001</v>
      </c>
      <c r="E175" s="48"/>
    </row>
    <row r="176" spans="1:5" s="39" customFormat="1" ht="18" customHeight="1">
      <c r="A176" s="44" t="s">
        <v>286</v>
      </c>
      <c r="B176" s="21" t="s">
        <v>169</v>
      </c>
      <c r="C176" s="35" t="s">
        <v>471</v>
      </c>
      <c r="D176" s="83">
        <f>9542-161.18502-517+562.18502</f>
        <v>9426</v>
      </c>
      <c r="E176" s="48"/>
    </row>
    <row r="177" spans="1:5" s="39" customFormat="1" ht="45.75" customHeight="1" hidden="1">
      <c r="A177" s="44" t="s">
        <v>490</v>
      </c>
      <c r="B177" s="21" t="s">
        <v>785</v>
      </c>
      <c r="C177" s="35" t="s">
        <v>491</v>
      </c>
      <c r="D177" s="83"/>
      <c r="E177" s="48"/>
    </row>
    <row r="178" spans="1:5" s="39" customFormat="1" ht="45.75" customHeight="1" hidden="1">
      <c r="A178" s="44" t="s">
        <v>494</v>
      </c>
      <c r="B178" s="21" t="s">
        <v>786</v>
      </c>
      <c r="C178" s="35" t="s">
        <v>495</v>
      </c>
      <c r="D178" s="83"/>
      <c r="E178" s="48"/>
    </row>
    <row r="179" spans="1:5" s="39" customFormat="1" ht="30.75" customHeight="1">
      <c r="A179" s="44" t="s">
        <v>715</v>
      </c>
      <c r="B179" s="21" t="s">
        <v>169</v>
      </c>
      <c r="C179" s="35" t="s">
        <v>687</v>
      </c>
      <c r="D179" s="83">
        <v>3000</v>
      </c>
      <c r="E179" s="48"/>
    </row>
    <row r="180" spans="1:5" s="39" customFormat="1" ht="42.75" customHeight="1">
      <c r="A180" s="44" t="s">
        <v>716</v>
      </c>
      <c r="B180" s="21" t="s">
        <v>169</v>
      </c>
      <c r="C180" s="35" t="s">
        <v>712</v>
      </c>
      <c r="D180" s="83">
        <v>30.30303</v>
      </c>
      <c r="E180" s="48"/>
    </row>
    <row r="181" spans="1:5" s="39" customFormat="1" ht="45.75" customHeight="1">
      <c r="A181" s="77" t="s">
        <v>608</v>
      </c>
      <c r="B181" s="84" t="s">
        <v>391</v>
      </c>
      <c r="C181" s="84" t="s">
        <v>504</v>
      </c>
      <c r="D181" s="91">
        <f>SUM(D182:D185)</f>
        <v>1215</v>
      </c>
      <c r="E181" s="48"/>
    </row>
    <row r="182" spans="1:5" s="39" customFormat="1" ht="17.25" customHeight="1">
      <c r="A182" s="17" t="s">
        <v>825</v>
      </c>
      <c r="B182" s="21" t="s">
        <v>394</v>
      </c>
      <c r="C182" s="35" t="s">
        <v>505</v>
      </c>
      <c r="D182" s="83">
        <f>1215-61.8-50-158</f>
        <v>945.2</v>
      </c>
      <c r="E182" s="48"/>
    </row>
    <row r="183" spans="1:5" s="39" customFormat="1" ht="16.5" customHeight="1">
      <c r="A183" s="17" t="s">
        <v>824</v>
      </c>
      <c r="B183" s="21" t="s">
        <v>169</v>
      </c>
      <c r="C183" s="35" t="s">
        <v>637</v>
      </c>
      <c r="D183" s="83">
        <f>31.6+50</f>
        <v>81.6</v>
      </c>
      <c r="E183" s="48"/>
    </row>
    <row r="184" spans="1:5" s="39" customFormat="1" ht="16.5" customHeight="1">
      <c r="A184" s="17" t="s">
        <v>826</v>
      </c>
      <c r="B184" s="21" t="s">
        <v>169</v>
      </c>
      <c r="C184" s="35" t="s">
        <v>823</v>
      </c>
      <c r="D184" s="83">
        <v>30.2</v>
      </c>
      <c r="E184" s="48"/>
    </row>
    <row r="185" spans="1:5" s="39" customFormat="1" ht="16.5" customHeight="1">
      <c r="A185" s="17" t="s">
        <v>832</v>
      </c>
      <c r="B185" s="21" t="s">
        <v>394</v>
      </c>
      <c r="C185" s="35" t="s">
        <v>833</v>
      </c>
      <c r="D185" s="83">
        <v>158</v>
      </c>
      <c r="E185" s="48"/>
    </row>
    <row r="186" spans="1:5" s="39" customFormat="1" ht="45.75" customHeight="1">
      <c r="A186" s="77" t="s">
        <v>524</v>
      </c>
      <c r="B186" s="84" t="s">
        <v>391</v>
      </c>
      <c r="C186" s="84" t="s">
        <v>507</v>
      </c>
      <c r="D186" s="91">
        <f>SUM(D187:D192)</f>
        <v>22944.698999999997</v>
      </c>
      <c r="E186" s="48"/>
    </row>
    <row r="187" spans="1:5" s="39" customFormat="1" ht="33" customHeight="1" hidden="1">
      <c r="A187" s="17" t="s">
        <v>510</v>
      </c>
      <c r="B187" s="21" t="s">
        <v>787</v>
      </c>
      <c r="C187" s="35" t="s">
        <v>503</v>
      </c>
      <c r="D187" s="83">
        <v>0</v>
      </c>
      <c r="E187" s="48"/>
    </row>
    <row r="188" spans="1:5" s="39" customFormat="1" ht="15" customHeight="1">
      <c r="A188" s="44" t="s">
        <v>220</v>
      </c>
      <c r="B188" s="21" t="s">
        <v>169</v>
      </c>
      <c r="C188" s="35" t="s">
        <v>502</v>
      </c>
      <c r="D188" s="83">
        <f>1090-288.27-490.282-61</f>
        <v>250.44800000000004</v>
      </c>
      <c r="E188" s="48"/>
    </row>
    <row r="189" spans="1:5" s="39" customFormat="1" ht="57.75" customHeight="1">
      <c r="A189" s="44" t="s">
        <v>512</v>
      </c>
      <c r="B189" s="21" t="s">
        <v>395</v>
      </c>
      <c r="C189" s="35" t="s">
        <v>499</v>
      </c>
      <c r="D189" s="83">
        <v>11291.076</v>
      </c>
      <c r="E189" s="48"/>
    </row>
    <row r="190" spans="1:5" s="39" customFormat="1" ht="31.5" customHeight="1">
      <c r="A190" s="44" t="s">
        <v>297</v>
      </c>
      <c r="B190" s="21" t="s">
        <v>395</v>
      </c>
      <c r="C190" s="35" t="s">
        <v>500</v>
      </c>
      <c r="D190" s="83">
        <f>8375.417+212.558</f>
        <v>8587.974999999999</v>
      </c>
      <c r="E190" s="48"/>
    </row>
    <row r="191" spans="1:5" s="39" customFormat="1" ht="29.25" customHeight="1">
      <c r="A191" s="44" t="s">
        <v>630</v>
      </c>
      <c r="B191" s="21" t="s">
        <v>395</v>
      </c>
      <c r="C191" s="35" t="s">
        <v>501</v>
      </c>
      <c r="D191" s="83">
        <f>450+170+100+281+419</f>
        <v>1420</v>
      </c>
      <c r="E191" s="48"/>
    </row>
    <row r="192" spans="1:5" s="39" customFormat="1" ht="57.75" customHeight="1">
      <c r="A192" s="44" t="s">
        <v>934</v>
      </c>
      <c r="B192" s="21" t="s">
        <v>395</v>
      </c>
      <c r="C192" s="35" t="s">
        <v>931</v>
      </c>
      <c r="D192" s="83">
        <v>1395.2</v>
      </c>
      <c r="E192" s="48"/>
    </row>
    <row r="193" spans="1:5" s="39" customFormat="1" ht="33.75" customHeight="1">
      <c r="A193" s="80" t="s">
        <v>789</v>
      </c>
      <c r="B193" s="84" t="s">
        <v>391</v>
      </c>
      <c r="C193" s="78" t="s">
        <v>538</v>
      </c>
      <c r="D193" s="91">
        <f>D194</f>
        <v>15</v>
      </c>
      <c r="E193" s="48"/>
    </row>
    <row r="194" spans="1:5" s="39" customFormat="1" ht="28.5" customHeight="1">
      <c r="A194" s="44" t="s">
        <v>539</v>
      </c>
      <c r="B194" s="21" t="s">
        <v>169</v>
      </c>
      <c r="C194" s="35" t="s">
        <v>540</v>
      </c>
      <c r="D194" s="83">
        <f>D195</f>
        <v>15</v>
      </c>
      <c r="E194" s="48"/>
    </row>
    <row r="195" spans="1:5" s="39" customFormat="1" ht="16.5" customHeight="1">
      <c r="A195" s="44" t="s">
        <v>590</v>
      </c>
      <c r="B195" s="21" t="s">
        <v>169</v>
      </c>
      <c r="C195" s="35" t="s">
        <v>542</v>
      </c>
      <c r="D195" s="83">
        <v>15</v>
      </c>
      <c r="E195" s="48"/>
    </row>
    <row r="196" spans="1:5" s="39" customFormat="1" ht="44.25" customHeight="1">
      <c r="A196" s="77" t="s">
        <v>548</v>
      </c>
      <c r="B196" s="84" t="s">
        <v>391</v>
      </c>
      <c r="C196" s="84" t="s">
        <v>549</v>
      </c>
      <c r="D196" s="91">
        <f>D197+D198</f>
        <v>2803.93102</v>
      </c>
      <c r="E196" s="48"/>
    </row>
    <row r="197" spans="1:5" s="39" customFormat="1" ht="31.5" customHeight="1">
      <c r="A197" s="44" t="s">
        <v>609</v>
      </c>
      <c r="B197" s="21" t="s">
        <v>169</v>
      </c>
      <c r="C197" s="35" t="s">
        <v>551</v>
      </c>
      <c r="D197" s="83">
        <f>1382.48629+1391.44473</f>
        <v>2773.93102</v>
      </c>
      <c r="E197" s="48"/>
    </row>
    <row r="198" spans="1:5" s="39" customFormat="1" ht="29.25" customHeight="1">
      <c r="A198" s="44" t="s">
        <v>610</v>
      </c>
      <c r="B198" s="21" t="s">
        <v>169</v>
      </c>
      <c r="C198" s="35" t="s">
        <v>711</v>
      </c>
      <c r="D198" s="83">
        <f>20+10</f>
        <v>30</v>
      </c>
      <c r="E198" s="48"/>
    </row>
    <row r="199" spans="1:5" s="39" customFormat="1" ht="73.5" customHeight="1">
      <c r="A199" s="77" t="s">
        <v>817</v>
      </c>
      <c r="B199" s="84" t="s">
        <v>391</v>
      </c>
      <c r="C199" s="84" t="s">
        <v>765</v>
      </c>
      <c r="D199" s="91">
        <f>SUM(D200:D202)</f>
        <v>33921.32682</v>
      </c>
      <c r="E199" s="48"/>
    </row>
    <row r="200" spans="1:5" s="39" customFormat="1" ht="31.5" customHeight="1">
      <c r="A200" s="44" t="s">
        <v>767</v>
      </c>
      <c r="B200" s="21" t="s">
        <v>169</v>
      </c>
      <c r="C200" s="35" t="s">
        <v>769</v>
      </c>
      <c r="D200" s="83">
        <f>14799.63122-1788.71266-1497.08925+700</f>
        <v>12213.829310000001</v>
      </c>
      <c r="E200" s="48"/>
    </row>
    <row r="201" spans="1:5" s="39" customFormat="1" ht="33" customHeight="1">
      <c r="A201" s="44" t="s">
        <v>768</v>
      </c>
      <c r="B201" s="21" t="s">
        <v>169</v>
      </c>
      <c r="C201" s="35" t="s">
        <v>770</v>
      </c>
      <c r="D201" s="83">
        <f>530.28251-287.705</f>
        <v>242.57751000000002</v>
      </c>
      <c r="E201" s="48"/>
    </row>
    <row r="202" spans="1:7" s="39" customFormat="1" ht="44.25" customHeight="1">
      <c r="A202" s="44" t="s">
        <v>766</v>
      </c>
      <c r="B202" s="21" t="s">
        <v>169</v>
      </c>
      <c r="C202" s="35" t="s">
        <v>771</v>
      </c>
      <c r="D202" s="83">
        <f>21118.07693+33.84307+325.52-12.52</f>
        <v>21464.92</v>
      </c>
      <c r="E202" s="89"/>
      <c r="F202" s="89"/>
      <c r="G202" s="89"/>
    </row>
    <row r="203" spans="1:5" s="315" customFormat="1" ht="18" customHeight="1">
      <c r="A203" s="80" t="s">
        <v>96</v>
      </c>
      <c r="B203" s="176"/>
      <c r="C203" s="177"/>
      <c r="D203" s="91">
        <f>D164+D119+D117+D98+D91+D88+D84+D12+D168+D171+D181+D186+D193+D196+D199</f>
        <v>587290.9845100001</v>
      </c>
      <c r="E203" s="320"/>
    </row>
    <row r="204" spans="1:5" ht="18" customHeight="1">
      <c r="A204" s="321" t="s">
        <v>340</v>
      </c>
      <c r="B204" s="321"/>
      <c r="C204" s="321"/>
      <c r="D204" s="321"/>
      <c r="E204" s="25"/>
    </row>
    <row r="205" spans="1:5" ht="30" customHeight="1">
      <c r="A205" s="36" t="s">
        <v>144</v>
      </c>
      <c r="B205" s="55"/>
      <c r="C205" s="56" t="s">
        <v>8</v>
      </c>
      <c r="D205" s="107"/>
      <c r="E205" s="25"/>
    </row>
    <row r="206" spans="1:5" ht="13.5">
      <c r="A206" s="36" t="s">
        <v>97</v>
      </c>
      <c r="B206" s="55"/>
      <c r="C206" s="56" t="s">
        <v>9</v>
      </c>
      <c r="D206" s="107"/>
      <c r="E206" s="25"/>
    </row>
    <row r="207" spans="1:5" ht="13.5">
      <c r="A207" s="44" t="s">
        <v>396</v>
      </c>
      <c r="B207" s="55"/>
      <c r="C207" s="56" t="s">
        <v>10</v>
      </c>
      <c r="D207" s="107">
        <f>1836.31+90+25</f>
        <v>1951.31</v>
      </c>
      <c r="E207" s="25"/>
    </row>
    <row r="208" spans="1:5" ht="18" customHeight="1">
      <c r="A208" s="44" t="s">
        <v>113</v>
      </c>
      <c r="B208" s="55"/>
      <c r="C208" s="56" t="s">
        <v>11</v>
      </c>
      <c r="D208" s="107">
        <f>1683+10-15-3.6-7.4</f>
        <v>1667</v>
      </c>
      <c r="E208" s="25"/>
    </row>
    <row r="209" spans="1:6" ht="28.5" customHeight="1">
      <c r="A209" s="80" t="s">
        <v>148</v>
      </c>
      <c r="B209" s="176"/>
      <c r="C209" s="177" t="s">
        <v>12</v>
      </c>
      <c r="D209" s="207">
        <f>D210+D211-1540+103.2-19.115-245-350-127-8.9-16.8+41.7-5-100</f>
        <v>36193.386999999995</v>
      </c>
      <c r="E209" s="66"/>
      <c r="F209" s="66"/>
    </row>
    <row r="210" spans="1:6" ht="28.5" customHeight="1" hidden="1">
      <c r="A210" s="44" t="s">
        <v>929</v>
      </c>
      <c r="B210" s="55"/>
      <c r="C210" s="56" t="s">
        <v>12</v>
      </c>
      <c r="D210" s="126">
        <f>39595.584-195-450-490.282</f>
        <v>38460.302</v>
      </c>
      <c r="E210" s="66"/>
      <c r="F210" s="66"/>
    </row>
    <row r="211" spans="1:6" ht="28.5" customHeight="1" hidden="1">
      <c r="A211" s="44" t="s">
        <v>930</v>
      </c>
      <c r="B211" s="55"/>
      <c r="C211" s="56" t="s">
        <v>12</v>
      </c>
      <c r="D211" s="126">
        <f>1187.718-1187.718</f>
        <v>0</v>
      </c>
      <c r="E211" s="66"/>
      <c r="F211" s="66"/>
    </row>
    <row r="212" spans="1:5" ht="16.5" customHeight="1">
      <c r="A212" s="44" t="s">
        <v>114</v>
      </c>
      <c r="B212" s="55"/>
      <c r="C212" s="56" t="s">
        <v>13</v>
      </c>
      <c r="D212" s="107">
        <f>1585.4+27.115</f>
        <v>1612.515</v>
      </c>
      <c r="E212" s="25"/>
    </row>
    <row r="213" spans="1:5" ht="15" customHeight="1">
      <c r="A213" s="44" t="s">
        <v>115</v>
      </c>
      <c r="B213" s="55"/>
      <c r="C213" s="56" t="s">
        <v>16</v>
      </c>
      <c r="D213" s="107">
        <f>2+25+78</f>
        <v>105</v>
      </c>
      <c r="E213" s="25"/>
    </row>
    <row r="214" spans="1:5" ht="16.5" customHeight="1">
      <c r="A214" s="44" t="s">
        <v>116</v>
      </c>
      <c r="B214" s="55"/>
      <c r="C214" s="56" t="s">
        <v>17</v>
      </c>
      <c r="D214" s="107">
        <f>430+320-25-272</f>
        <v>453</v>
      </c>
      <c r="E214" s="25"/>
    </row>
    <row r="215" spans="1:5" ht="27" customHeight="1" hidden="1">
      <c r="A215" s="44" t="s">
        <v>358</v>
      </c>
      <c r="B215" s="55"/>
      <c r="C215" s="56" t="s">
        <v>18</v>
      </c>
      <c r="D215" s="107">
        <f>100-100</f>
        <v>0</v>
      </c>
      <c r="E215" s="25"/>
    </row>
    <row r="216" spans="1:5" ht="33" customHeight="1" hidden="1">
      <c r="A216" s="44" t="s">
        <v>38</v>
      </c>
      <c r="B216" s="55"/>
      <c r="C216" s="56" t="s">
        <v>19</v>
      </c>
      <c r="D216" s="107"/>
      <c r="E216" s="25"/>
    </row>
    <row r="217" spans="1:5" ht="17.25" customHeight="1" hidden="1">
      <c r="A217" s="44" t="s">
        <v>364</v>
      </c>
      <c r="B217" s="55"/>
      <c r="C217" s="56" t="s">
        <v>20</v>
      </c>
      <c r="D217" s="107"/>
      <c r="E217" s="49"/>
    </row>
    <row r="218" spans="1:5" ht="15.75" customHeight="1">
      <c r="A218" s="44" t="s">
        <v>547</v>
      </c>
      <c r="B218" s="55"/>
      <c r="C218" s="56" t="s">
        <v>21</v>
      </c>
      <c r="D218" s="107">
        <f>503.9-154+70</f>
        <v>419.9</v>
      </c>
      <c r="E218" s="49"/>
    </row>
    <row r="219" spans="1:5" ht="15" customHeight="1">
      <c r="A219" s="44" t="s">
        <v>376</v>
      </c>
      <c r="B219" s="55"/>
      <c r="C219" s="56" t="s">
        <v>22</v>
      </c>
      <c r="D219" s="107">
        <f>90-15-49.34</f>
        <v>25.659999999999997</v>
      </c>
      <c r="E219" s="25"/>
    </row>
    <row r="220" spans="1:5" ht="15.75" customHeight="1">
      <c r="A220" s="44" t="s">
        <v>377</v>
      </c>
      <c r="B220" s="55"/>
      <c r="C220" s="56" t="s">
        <v>23</v>
      </c>
      <c r="D220" s="107">
        <f>100+1950.4+0.004+296.598-65-172.4</f>
        <v>2109.602</v>
      </c>
      <c r="E220" s="25"/>
    </row>
    <row r="221" spans="1:5" ht="15.75" customHeight="1">
      <c r="A221" s="44" t="s">
        <v>460</v>
      </c>
      <c r="B221" s="55"/>
      <c r="C221" s="56" t="s">
        <v>81</v>
      </c>
      <c r="D221" s="107">
        <f>683+84.6</f>
        <v>767.6</v>
      </c>
      <c r="E221" s="25"/>
    </row>
    <row r="222" spans="1:5" ht="15.75" customHeight="1" hidden="1">
      <c r="A222" s="44" t="s">
        <v>199</v>
      </c>
      <c r="B222" s="55"/>
      <c r="C222" s="56" t="s">
        <v>88</v>
      </c>
      <c r="D222" s="107"/>
      <c r="E222" s="25"/>
    </row>
    <row r="223" spans="1:5" ht="15.75" customHeight="1">
      <c r="A223" s="44" t="s">
        <v>468</v>
      </c>
      <c r="B223" s="55"/>
      <c r="C223" s="56" t="s">
        <v>89</v>
      </c>
      <c r="D223" s="107">
        <f>655.9+15</f>
        <v>670.9</v>
      </c>
      <c r="E223" s="25"/>
    </row>
    <row r="224" spans="1:5" ht="30" customHeight="1" hidden="1">
      <c r="A224" s="44" t="s">
        <v>297</v>
      </c>
      <c r="B224" s="55"/>
      <c r="C224" s="56" t="s">
        <v>90</v>
      </c>
      <c r="D224" s="107"/>
      <c r="E224" s="25"/>
    </row>
    <row r="225" spans="1:5" ht="17.25" customHeight="1" hidden="1">
      <c r="A225" s="44" t="s">
        <v>436</v>
      </c>
      <c r="B225" s="55"/>
      <c r="C225" s="56" t="s">
        <v>91</v>
      </c>
      <c r="D225" s="107"/>
      <c r="E225" s="25"/>
    </row>
    <row r="226" spans="1:5" ht="79.5" customHeight="1" hidden="1">
      <c r="A226" s="44" t="s">
        <v>489</v>
      </c>
      <c r="B226" s="55"/>
      <c r="C226" s="56" t="s">
        <v>488</v>
      </c>
      <c r="D226" s="107"/>
      <c r="E226" s="25"/>
    </row>
    <row r="227" spans="1:5" ht="17.25" customHeight="1" hidden="1">
      <c r="A227" s="44" t="s">
        <v>484</v>
      </c>
      <c r="B227" s="55"/>
      <c r="C227" s="56" t="s">
        <v>485</v>
      </c>
      <c r="D227" s="107"/>
      <c r="E227" s="25"/>
    </row>
    <row r="228" spans="1:5" ht="17.25" customHeight="1">
      <c r="A228" s="44" t="s">
        <v>492</v>
      </c>
      <c r="B228" s="55"/>
      <c r="C228" s="56" t="s">
        <v>493</v>
      </c>
      <c r="D228" s="107">
        <f>1402.9-504.6-2+138.78701-13.7+28.5</f>
        <v>1049.8870100000001</v>
      </c>
      <c r="E228" s="25"/>
    </row>
    <row r="229" spans="1:5" ht="63.75" customHeight="1" hidden="1">
      <c r="A229" s="44" t="s">
        <v>318</v>
      </c>
      <c r="B229" s="55"/>
      <c r="C229" s="56" t="s">
        <v>475</v>
      </c>
      <c r="D229" s="107"/>
      <c r="E229" s="25"/>
    </row>
    <row r="230" spans="1:5" ht="15.75" customHeight="1" hidden="1">
      <c r="A230" s="44" t="s">
        <v>521</v>
      </c>
      <c r="B230" s="55"/>
      <c r="C230" s="56" t="s">
        <v>522</v>
      </c>
      <c r="D230" s="107"/>
      <c r="E230" s="25"/>
    </row>
    <row r="231" spans="1:5" ht="15.75" customHeight="1">
      <c r="A231" s="44" t="s">
        <v>611</v>
      </c>
      <c r="B231" s="55"/>
      <c r="C231" s="56" t="s">
        <v>556</v>
      </c>
      <c r="D231" s="107">
        <v>900</v>
      </c>
      <c r="E231" s="25"/>
    </row>
    <row r="232" spans="1:5" ht="15.75" customHeight="1">
      <c r="A232" s="44" t="s">
        <v>533</v>
      </c>
      <c r="B232" s="55"/>
      <c r="C232" s="56" t="s">
        <v>534</v>
      </c>
      <c r="D232" s="107">
        <f>100-11.45-24.964+600-25.292-6.497-16.526-16.045-27.55-20-5-20-13.99501-10-502.68099</f>
        <v>0</v>
      </c>
      <c r="E232" s="25"/>
    </row>
    <row r="233" spans="1:5" ht="30" customHeight="1">
      <c r="A233" s="44" t="s">
        <v>721</v>
      </c>
      <c r="B233" s="55"/>
      <c r="C233" s="56" t="s">
        <v>722</v>
      </c>
      <c r="D233" s="107">
        <f>11.45+24.964+25.292+6.497+16.526+16.045+20+27.55+5+20-14.14865</f>
        <v>159.17535</v>
      </c>
      <c r="E233" s="25"/>
    </row>
    <row r="234" spans="1:5" ht="39.75" customHeight="1" hidden="1">
      <c r="A234" s="44" t="s">
        <v>753</v>
      </c>
      <c r="B234" s="55"/>
      <c r="C234" s="56" t="s">
        <v>754</v>
      </c>
      <c r="D234" s="107"/>
      <c r="E234" s="25"/>
    </row>
    <row r="235" spans="1:5" ht="55.5" customHeight="1">
      <c r="A235" s="44" t="s">
        <v>935</v>
      </c>
      <c r="B235" s="55"/>
      <c r="C235" s="56" t="s">
        <v>936</v>
      </c>
      <c r="D235" s="107">
        <f>10.55001+3.445</f>
        <v>13.99501</v>
      </c>
      <c r="E235" s="25"/>
    </row>
    <row r="236" spans="1:5" ht="30" customHeight="1">
      <c r="A236" s="44" t="s">
        <v>938</v>
      </c>
      <c r="B236" s="55"/>
      <c r="C236" s="56" t="s">
        <v>937</v>
      </c>
      <c r="D236" s="107">
        <v>10</v>
      </c>
      <c r="E236" s="25"/>
    </row>
    <row r="237" spans="1:5" ht="15.75" customHeight="1">
      <c r="A237" s="44" t="s">
        <v>545</v>
      </c>
      <c r="B237" s="55"/>
      <c r="C237" s="56" t="s">
        <v>546</v>
      </c>
      <c r="D237" s="107">
        <f>80.3+40.158</f>
        <v>120.458</v>
      </c>
      <c r="E237" s="25"/>
    </row>
    <row r="238" spans="1:7" ht="57" customHeight="1">
      <c r="A238" s="44" t="s">
        <v>552</v>
      </c>
      <c r="B238" s="55"/>
      <c r="C238" s="56" t="s">
        <v>553</v>
      </c>
      <c r="D238" s="107">
        <f>250-150</f>
        <v>100</v>
      </c>
      <c r="E238" s="25"/>
      <c r="G238" s="66"/>
    </row>
    <row r="239" spans="1:7" ht="16.5" customHeight="1">
      <c r="A239" s="44" t="s">
        <v>830</v>
      </c>
      <c r="B239" s="55"/>
      <c r="C239" s="56" t="s">
        <v>831</v>
      </c>
      <c r="D239" s="107">
        <f>287.5+30</f>
        <v>317.5</v>
      </c>
      <c r="E239" s="25"/>
      <c r="G239" s="66"/>
    </row>
    <row r="240" spans="1:7" ht="16.5" customHeight="1">
      <c r="A240" s="44" t="s">
        <v>877</v>
      </c>
      <c r="B240" s="55"/>
      <c r="C240" s="56" t="s">
        <v>878</v>
      </c>
      <c r="D240" s="107">
        <v>222.57</v>
      </c>
      <c r="E240" s="25"/>
      <c r="G240" s="66"/>
    </row>
    <row r="241" spans="1:5" ht="55.5" customHeight="1">
      <c r="A241" s="44" t="s">
        <v>98</v>
      </c>
      <c r="B241" s="55"/>
      <c r="C241" s="139">
        <v>9999959300</v>
      </c>
      <c r="D241" s="107">
        <f>1361.162+34.03</f>
        <v>1395.192</v>
      </c>
      <c r="E241" s="25"/>
    </row>
    <row r="242" spans="1:5" ht="33" customHeight="1" hidden="1">
      <c r="A242" s="44" t="s">
        <v>755</v>
      </c>
      <c r="B242" s="55"/>
      <c r="C242" s="139" t="s">
        <v>756</v>
      </c>
      <c r="D242" s="107"/>
      <c r="E242" s="25"/>
    </row>
    <row r="243" spans="1:5" ht="29.25" customHeight="1">
      <c r="A243" s="44" t="s">
        <v>862</v>
      </c>
      <c r="B243" s="55"/>
      <c r="C243" s="139">
        <v>9999993180</v>
      </c>
      <c r="D243" s="107">
        <v>272.232</v>
      </c>
      <c r="E243" s="25"/>
    </row>
    <row r="244" spans="1:5" ht="16.5" customHeight="1">
      <c r="A244" s="80" t="s">
        <v>801</v>
      </c>
      <c r="B244" s="176"/>
      <c r="C244" s="177" t="s">
        <v>803</v>
      </c>
      <c r="D244" s="207">
        <f>D245+D246</f>
        <v>1982.183</v>
      </c>
      <c r="E244" s="25"/>
    </row>
    <row r="245" spans="1:5" ht="27.75" customHeight="1">
      <c r="A245" s="44" t="s">
        <v>99</v>
      </c>
      <c r="B245" s="55"/>
      <c r="C245" s="56" t="s">
        <v>803</v>
      </c>
      <c r="D245" s="107">
        <f>1197.791+10.976</f>
        <v>1208.767</v>
      </c>
      <c r="E245" s="25"/>
    </row>
    <row r="246" spans="1:5" ht="13.5">
      <c r="A246" s="44" t="s">
        <v>100</v>
      </c>
      <c r="B246" s="55"/>
      <c r="C246" s="56" t="s">
        <v>803</v>
      </c>
      <c r="D246" s="107">
        <f>766.425+6.991</f>
        <v>773.4159999999999</v>
      </c>
      <c r="E246" s="25"/>
    </row>
    <row r="247" spans="1:5" ht="30" customHeight="1">
      <c r="A247" s="44" t="s">
        <v>700</v>
      </c>
      <c r="B247" s="55"/>
      <c r="C247" s="56" t="s">
        <v>37</v>
      </c>
      <c r="D247" s="107">
        <v>265.91093</v>
      </c>
      <c r="E247" s="25"/>
    </row>
    <row r="248" spans="1:5" ht="17.25" customHeight="1">
      <c r="A248" s="44" t="s">
        <v>101</v>
      </c>
      <c r="B248" s="55"/>
      <c r="C248" s="56" t="s">
        <v>14</v>
      </c>
      <c r="D248" s="107">
        <f>794.861+7.116</f>
        <v>801.977</v>
      </c>
      <c r="E248" s="25"/>
    </row>
    <row r="249" spans="1:5" ht="30" customHeight="1">
      <c r="A249" s="44" t="s">
        <v>642</v>
      </c>
      <c r="B249" s="55"/>
      <c r="C249" s="56" t="s">
        <v>662</v>
      </c>
      <c r="D249" s="107">
        <f>1865.848+16.655</f>
        <v>1882.503</v>
      </c>
      <c r="E249" s="25"/>
    </row>
    <row r="250" spans="1:5" ht="41.25" customHeight="1" hidden="1">
      <c r="A250" s="44" t="s">
        <v>643</v>
      </c>
      <c r="B250" s="55"/>
      <c r="C250" s="56" t="s">
        <v>663</v>
      </c>
      <c r="D250" s="107"/>
      <c r="E250" s="25"/>
    </row>
    <row r="251" spans="1:5" ht="29.25" customHeight="1" hidden="1">
      <c r="A251" s="44" t="s">
        <v>644</v>
      </c>
      <c r="B251" s="55"/>
      <c r="C251" s="56" t="s">
        <v>664</v>
      </c>
      <c r="D251" s="107"/>
      <c r="E251" s="25"/>
    </row>
    <row r="252" spans="1:5" ht="41.25">
      <c r="A252" s="44" t="s">
        <v>102</v>
      </c>
      <c r="B252" s="55"/>
      <c r="C252" s="56" t="s">
        <v>24</v>
      </c>
      <c r="D252" s="107">
        <v>1.69524</v>
      </c>
      <c r="E252" s="25"/>
    </row>
    <row r="253" spans="1:5" ht="30.75" customHeight="1">
      <c r="A253" s="44" t="s">
        <v>706</v>
      </c>
      <c r="B253" s="55"/>
      <c r="C253" s="56" t="s">
        <v>440</v>
      </c>
      <c r="D253" s="107">
        <f>26.012+0.0008</f>
        <v>26.012800000000002</v>
      </c>
      <c r="E253" s="25"/>
    </row>
    <row r="254" spans="1:5" ht="27" hidden="1">
      <c r="A254" s="44" t="s">
        <v>103</v>
      </c>
      <c r="B254" s="55"/>
      <c r="C254" s="56">
        <v>9999951180</v>
      </c>
      <c r="D254" s="107"/>
      <c r="E254" s="49"/>
    </row>
    <row r="255" spans="1:5" ht="42.75" customHeight="1">
      <c r="A255" s="44" t="s">
        <v>612</v>
      </c>
      <c r="B255" s="55"/>
      <c r="C255" s="56" t="s">
        <v>544</v>
      </c>
      <c r="D255" s="107">
        <v>3.38708</v>
      </c>
      <c r="E255" s="49"/>
    </row>
    <row r="256" spans="1:5" ht="42.75" customHeight="1">
      <c r="A256" s="44" t="s">
        <v>594</v>
      </c>
      <c r="B256" s="55"/>
      <c r="C256" s="56" t="s">
        <v>537</v>
      </c>
      <c r="D256" s="107">
        <f>879.91987-33.84307+12.52</f>
        <v>858.5967999999999</v>
      </c>
      <c r="E256" s="82"/>
    </row>
    <row r="257" spans="1:5" ht="84" customHeight="1" hidden="1">
      <c r="A257" s="44" t="s">
        <v>882</v>
      </c>
      <c r="B257" s="55"/>
      <c r="C257" s="56" t="s">
        <v>872</v>
      </c>
      <c r="D257" s="107">
        <f>89.342-89.342</f>
        <v>0</v>
      </c>
      <c r="E257" s="49"/>
    </row>
    <row r="258" spans="1:5" ht="15" customHeight="1">
      <c r="A258" s="44" t="s">
        <v>802</v>
      </c>
      <c r="B258" s="55"/>
      <c r="C258" s="56" t="s">
        <v>804</v>
      </c>
      <c r="D258" s="107">
        <v>307.152</v>
      </c>
      <c r="E258" s="186"/>
    </row>
    <row r="259" spans="1:5" ht="54.75" customHeight="1" hidden="1">
      <c r="A259" s="44" t="s">
        <v>737</v>
      </c>
      <c r="B259" s="55"/>
      <c r="C259" s="56" t="s">
        <v>738</v>
      </c>
      <c r="D259" s="107"/>
      <c r="E259" s="49"/>
    </row>
    <row r="260" spans="1:6" ht="16.5" customHeight="1">
      <c r="A260" s="80" t="s">
        <v>118</v>
      </c>
      <c r="B260" s="176"/>
      <c r="C260" s="177"/>
      <c r="D260" s="90">
        <f>D207+D208+D209+SUM(D212:D244)+SUM(D247:D258)</f>
        <v>56666.301219999994</v>
      </c>
      <c r="E260" s="322"/>
      <c r="F260" s="66"/>
    </row>
    <row r="261" spans="1:5" s="22" customFormat="1" ht="19.5" customHeight="1">
      <c r="A261" s="80" t="s">
        <v>104</v>
      </c>
      <c r="B261" s="176"/>
      <c r="C261" s="177"/>
      <c r="D261" s="90">
        <f>D260+D203</f>
        <v>643957.2857300001</v>
      </c>
      <c r="E261" s="244"/>
    </row>
    <row r="262" ht="15">
      <c r="D262" s="324"/>
    </row>
    <row r="263" ht="12.75">
      <c r="C263" s="194"/>
    </row>
    <row r="264" ht="12.75">
      <c r="C264" s="194"/>
    </row>
    <row r="265" spans="3:4" ht="12.75">
      <c r="C265" s="325"/>
      <c r="D265" s="214"/>
    </row>
    <row r="267" ht="12.75">
      <c r="C267" s="33"/>
    </row>
    <row r="269" ht="12.75">
      <c r="E269" s="66"/>
    </row>
  </sheetData>
  <sheetProtection/>
  <mergeCells count="7">
    <mergeCell ref="A204:D204"/>
    <mergeCell ref="A6:D6"/>
    <mergeCell ref="A11:D11"/>
    <mergeCell ref="A1:D1"/>
    <mergeCell ref="A2:D2"/>
    <mergeCell ref="A3:D3"/>
    <mergeCell ref="A4:D4"/>
  </mergeCells>
  <printOptions/>
  <pageMargins left="0.7480314960629921" right="0.7480314960629921" top="0.984251968503937" bottom="0.7874015748031497" header="0.5118110236220472" footer="0.5118110236220472"/>
  <pageSetup fitToHeight="0" horizontalDpi="600" verticalDpi="600" orientation="portrait" paperSize="9" scale="70" r:id="rId1"/>
  <rowBreaks count="3" manualBreakCount="3">
    <brk id="40" max="3" man="1"/>
    <brk id="85" max="3" man="1"/>
    <brk id="203" max="3" man="1"/>
  </rowBreaks>
</worksheet>
</file>

<file path=xl/worksheets/sheet6.xml><?xml version="1.0" encoding="utf-8"?>
<worksheet xmlns="http://schemas.openxmlformats.org/spreadsheetml/2006/main" xmlns:r="http://schemas.openxmlformats.org/officeDocument/2006/relationships">
  <sheetPr>
    <tabColor rgb="FFFF0000"/>
  </sheetPr>
  <dimension ref="A1:O34"/>
  <sheetViews>
    <sheetView view="pageBreakPreview" zoomScaleSheetLayoutView="100" zoomScalePageLayoutView="0" workbookViewId="0" topLeftCell="A28">
      <selection activeCell="J18" sqref="J18"/>
    </sheetView>
  </sheetViews>
  <sheetFormatPr defaultColWidth="8.625" defaultRowHeight="12.75"/>
  <cols>
    <col min="1" max="1" width="37.625" style="281" customWidth="1"/>
    <col min="2" max="2" width="4.625" style="29" hidden="1" customWidth="1"/>
    <col min="3" max="3" width="5.50390625" style="29" hidden="1" customWidth="1"/>
    <col min="4" max="4" width="12.375" style="29" hidden="1" customWidth="1"/>
    <col min="5" max="5" width="4.625" style="29" hidden="1" customWidth="1"/>
    <col min="6" max="6" width="13.50390625" style="33" customWidth="1"/>
    <col min="7" max="7" width="10.50390625" style="33" customWidth="1"/>
    <col min="8" max="9" width="13.50390625" style="33" customWidth="1"/>
    <col min="10" max="10" width="10.50390625" style="33" bestFit="1" customWidth="1"/>
    <col min="11" max="11" width="14.50390625" style="33" customWidth="1"/>
    <col min="12" max="12" width="13.875" style="33" customWidth="1"/>
    <col min="13" max="13" width="10.50390625" style="33" bestFit="1" customWidth="1"/>
    <col min="14" max="14" width="14.625" style="33" customWidth="1"/>
    <col min="15" max="16384" width="8.625" style="33" customWidth="1"/>
  </cols>
  <sheetData>
    <row r="1" spans="1:14" ht="15.75" customHeight="1">
      <c r="A1" s="105"/>
      <c r="B1" s="105"/>
      <c r="C1" s="105"/>
      <c r="D1" s="105"/>
      <c r="E1" s="326"/>
      <c r="F1" s="247"/>
      <c r="G1" s="247"/>
      <c r="H1" s="247"/>
      <c r="L1" s="247" t="s">
        <v>876</v>
      </c>
      <c r="M1" s="247"/>
      <c r="N1" s="247"/>
    </row>
    <row r="2" spans="1:14" ht="18">
      <c r="A2" s="327"/>
      <c r="B2" s="326"/>
      <c r="C2" s="326"/>
      <c r="D2" s="328"/>
      <c r="E2" s="326"/>
      <c r="F2" s="247"/>
      <c r="G2" s="247"/>
      <c r="H2" s="247"/>
      <c r="L2" s="247" t="s">
        <v>387</v>
      </c>
      <c r="M2" s="247"/>
      <c r="N2" s="247"/>
    </row>
    <row r="3" spans="1:14" ht="18">
      <c r="A3" s="327"/>
      <c r="B3" s="326"/>
      <c r="C3" s="326"/>
      <c r="D3" s="328"/>
      <c r="E3" s="326"/>
      <c r="F3" s="247"/>
      <c r="G3" s="247"/>
      <c r="H3" s="247"/>
      <c r="L3" s="247" t="s">
        <v>388</v>
      </c>
      <c r="M3" s="247"/>
      <c r="N3" s="247"/>
    </row>
    <row r="4" spans="1:14" ht="15.75" customHeight="1">
      <c r="A4" s="327"/>
      <c r="B4" s="326"/>
      <c r="C4" s="326"/>
      <c r="D4" s="326"/>
      <c r="E4" s="326"/>
      <c r="F4" s="282"/>
      <c r="G4" s="247"/>
      <c r="H4" s="247"/>
      <c r="L4" s="282" t="s">
        <v>948</v>
      </c>
      <c r="M4" s="247"/>
      <c r="N4" s="247"/>
    </row>
    <row r="5" ht="4.5" customHeight="1"/>
    <row r="6" spans="1:14" ht="15">
      <c r="A6" s="271" t="s">
        <v>389</v>
      </c>
      <c r="B6" s="271"/>
      <c r="C6" s="271"/>
      <c r="D6" s="271"/>
      <c r="E6" s="271"/>
      <c r="F6" s="271"/>
      <c r="G6" s="271"/>
      <c r="H6" s="271"/>
      <c r="I6" s="271"/>
      <c r="J6" s="271"/>
      <c r="K6" s="271"/>
      <c r="L6" s="271"/>
      <c r="M6" s="271"/>
      <c r="N6" s="271"/>
    </row>
    <row r="7" spans="1:14" ht="16.5" customHeight="1">
      <c r="A7" s="271" t="s">
        <v>763</v>
      </c>
      <c r="B7" s="271"/>
      <c r="C7" s="271"/>
      <c r="D7" s="271"/>
      <c r="E7" s="271"/>
      <c r="F7" s="271"/>
      <c r="G7" s="271"/>
      <c r="H7" s="271"/>
      <c r="I7" s="271"/>
      <c r="J7" s="271"/>
      <c r="K7" s="271"/>
      <c r="L7" s="271"/>
      <c r="M7" s="271"/>
      <c r="N7" s="271"/>
    </row>
    <row r="8" spans="1:14" ht="15.75" customHeight="1">
      <c r="A8" s="271"/>
      <c r="B8" s="271"/>
      <c r="C8" s="271"/>
      <c r="D8" s="271"/>
      <c r="E8" s="271"/>
      <c r="F8" s="271"/>
      <c r="G8" s="271"/>
      <c r="H8" s="271"/>
      <c r="I8" s="271"/>
      <c r="J8" s="271"/>
      <c r="K8" s="271"/>
      <c r="L8" s="271"/>
      <c r="M8" s="271"/>
      <c r="N8" s="271"/>
    </row>
    <row r="9" spans="1:14" ht="15.75" customHeight="1">
      <c r="A9" s="8"/>
      <c r="B9" s="8"/>
      <c r="C9" s="196"/>
      <c r="D9" s="196"/>
      <c r="E9" s="196"/>
      <c r="F9" s="196"/>
      <c r="G9" s="196"/>
      <c r="H9" s="43"/>
      <c r="I9" s="43"/>
      <c r="J9" s="43"/>
      <c r="K9" s="43"/>
      <c r="L9" s="43"/>
      <c r="M9" s="43"/>
      <c r="N9" s="43" t="s">
        <v>353</v>
      </c>
    </row>
    <row r="10" spans="1:14" ht="12" customHeight="1">
      <c r="A10" s="329" t="s">
        <v>329</v>
      </c>
      <c r="B10" s="330" t="s">
        <v>136</v>
      </c>
      <c r="C10" s="330" t="s">
        <v>137</v>
      </c>
      <c r="D10" s="331" t="s">
        <v>331</v>
      </c>
      <c r="E10" s="330" t="s">
        <v>138</v>
      </c>
      <c r="F10" s="278" t="s">
        <v>523</v>
      </c>
      <c r="G10" s="277" t="s">
        <v>333</v>
      </c>
      <c r="H10" s="277"/>
      <c r="I10" s="278" t="s">
        <v>628</v>
      </c>
      <c r="J10" s="277" t="s">
        <v>333</v>
      </c>
      <c r="K10" s="277"/>
      <c r="L10" s="278" t="s">
        <v>796</v>
      </c>
      <c r="M10" s="277" t="s">
        <v>333</v>
      </c>
      <c r="N10" s="277"/>
    </row>
    <row r="11" spans="1:14" ht="52.5" customHeight="1">
      <c r="A11" s="332"/>
      <c r="B11" s="333"/>
      <c r="C11" s="333"/>
      <c r="D11" s="334"/>
      <c r="E11" s="333"/>
      <c r="F11" s="279"/>
      <c r="G11" s="2" t="s">
        <v>128</v>
      </c>
      <c r="H11" s="2" t="s">
        <v>229</v>
      </c>
      <c r="I11" s="279"/>
      <c r="J11" s="2" t="s">
        <v>128</v>
      </c>
      <c r="K11" s="2" t="s">
        <v>229</v>
      </c>
      <c r="L11" s="279"/>
      <c r="M11" s="2" t="s">
        <v>128</v>
      </c>
      <c r="N11" s="2" t="s">
        <v>229</v>
      </c>
    </row>
    <row r="12" spans="1:14" s="336" customFormat="1" ht="11.25" customHeight="1">
      <c r="A12" s="335">
        <v>1</v>
      </c>
      <c r="B12" s="335">
        <v>2</v>
      </c>
      <c r="C12" s="335">
        <v>3</v>
      </c>
      <c r="D12" s="335">
        <v>4</v>
      </c>
      <c r="E12" s="335">
        <v>5</v>
      </c>
      <c r="F12" s="15">
        <v>6</v>
      </c>
      <c r="G12" s="11">
        <v>7</v>
      </c>
      <c r="H12" s="16">
        <v>8</v>
      </c>
      <c r="I12" s="15">
        <v>6</v>
      </c>
      <c r="J12" s="11">
        <v>7</v>
      </c>
      <c r="K12" s="16">
        <v>8</v>
      </c>
      <c r="L12" s="15">
        <v>6</v>
      </c>
      <c r="M12" s="11">
        <v>7</v>
      </c>
      <c r="N12" s="16">
        <v>8</v>
      </c>
    </row>
    <row r="13" spans="1:14" s="336" customFormat="1" ht="53.25" customHeight="1" hidden="1">
      <c r="A13" s="42" t="s">
        <v>127</v>
      </c>
      <c r="B13" s="28" t="s">
        <v>374</v>
      </c>
      <c r="C13" s="28" t="s">
        <v>374</v>
      </c>
      <c r="D13" s="28"/>
      <c r="E13" s="28"/>
      <c r="F13" s="197"/>
      <c r="G13" s="198"/>
      <c r="H13" s="198"/>
      <c r="I13" s="197"/>
      <c r="J13" s="198"/>
      <c r="K13" s="198"/>
      <c r="L13" s="197"/>
      <c r="M13" s="198"/>
      <c r="N13" s="198"/>
    </row>
    <row r="14" spans="1:14" s="19" customFormat="1" ht="65.25" customHeight="1" hidden="1">
      <c r="A14" s="31" t="s">
        <v>175</v>
      </c>
      <c r="B14" s="28" t="s">
        <v>374</v>
      </c>
      <c r="C14" s="28" t="s">
        <v>374</v>
      </c>
      <c r="D14" s="28"/>
      <c r="E14" s="28"/>
      <c r="F14" s="337"/>
      <c r="G14" s="338"/>
      <c r="H14" s="338"/>
      <c r="I14" s="337"/>
      <c r="J14" s="338"/>
      <c r="K14" s="338"/>
      <c r="L14" s="337"/>
      <c r="M14" s="338"/>
      <c r="N14" s="338"/>
    </row>
    <row r="15" spans="1:14" ht="33.75" customHeight="1" hidden="1">
      <c r="A15" s="27" t="s">
        <v>195</v>
      </c>
      <c r="B15" s="14" t="s">
        <v>374</v>
      </c>
      <c r="C15" s="14" t="s">
        <v>374</v>
      </c>
      <c r="D15" s="14" t="s">
        <v>62</v>
      </c>
      <c r="E15" s="14" t="s">
        <v>196</v>
      </c>
      <c r="F15" s="339">
        <f>G15+H15</f>
        <v>0</v>
      </c>
      <c r="G15" s="340">
        <v>0</v>
      </c>
      <c r="H15" s="340">
        <v>0</v>
      </c>
      <c r="I15" s="339">
        <f>J15+K15</f>
        <v>0</v>
      </c>
      <c r="J15" s="340">
        <v>0</v>
      </c>
      <c r="K15" s="340">
        <v>0</v>
      </c>
      <c r="L15" s="339">
        <f>M15+N15</f>
        <v>0</v>
      </c>
      <c r="M15" s="340">
        <v>0</v>
      </c>
      <c r="N15" s="340">
        <v>0</v>
      </c>
    </row>
    <row r="16" spans="1:14" s="25" customFormat="1" ht="18.75" customHeight="1">
      <c r="A16" s="73" t="s">
        <v>319</v>
      </c>
      <c r="B16" s="35" t="s">
        <v>213</v>
      </c>
      <c r="C16" s="35" t="s">
        <v>141</v>
      </c>
      <c r="D16" s="35"/>
      <c r="E16" s="35"/>
      <c r="F16" s="199"/>
      <c r="G16" s="341"/>
      <c r="H16" s="341"/>
      <c r="I16" s="199"/>
      <c r="J16" s="341"/>
      <c r="K16" s="341"/>
      <c r="L16" s="199"/>
      <c r="M16" s="341"/>
      <c r="N16" s="341"/>
    </row>
    <row r="17" spans="1:14" s="104" customFormat="1" ht="17.25" customHeight="1">
      <c r="A17" s="73" t="s">
        <v>134</v>
      </c>
      <c r="B17" s="35"/>
      <c r="C17" s="35"/>
      <c r="D17" s="35"/>
      <c r="E17" s="35"/>
      <c r="F17" s="199"/>
      <c r="G17" s="47"/>
      <c r="H17" s="47"/>
      <c r="I17" s="199"/>
      <c r="J17" s="47"/>
      <c r="K17" s="47"/>
      <c r="L17" s="199"/>
      <c r="M17" s="47"/>
      <c r="N17" s="47"/>
    </row>
    <row r="18" spans="1:14" s="37" customFormat="1" ht="32.25" customHeight="1">
      <c r="A18" s="17" t="s">
        <v>460</v>
      </c>
      <c r="B18" s="35" t="s">
        <v>213</v>
      </c>
      <c r="C18" s="35" t="s">
        <v>140</v>
      </c>
      <c r="D18" s="35" t="s">
        <v>81</v>
      </c>
      <c r="E18" s="35" t="s">
        <v>196</v>
      </c>
      <c r="F18" s="119">
        <f>G18+H18</f>
        <v>767.6</v>
      </c>
      <c r="G18" s="83">
        <f>683+84.6</f>
        <v>767.6</v>
      </c>
      <c r="H18" s="83">
        <v>0</v>
      </c>
      <c r="I18" s="119">
        <f>J18+K18</f>
        <v>683</v>
      </c>
      <c r="J18" s="83">
        <v>683</v>
      </c>
      <c r="K18" s="83">
        <v>0</v>
      </c>
      <c r="L18" s="119">
        <f>M18+N18</f>
        <v>683</v>
      </c>
      <c r="M18" s="83">
        <v>683</v>
      </c>
      <c r="N18" s="83">
        <v>0</v>
      </c>
    </row>
    <row r="19" spans="1:14" s="37" customFormat="1" ht="25.5" customHeight="1">
      <c r="A19" s="73" t="s">
        <v>570</v>
      </c>
      <c r="B19" s="35" t="s">
        <v>213</v>
      </c>
      <c r="C19" s="35" t="s">
        <v>147</v>
      </c>
      <c r="D19" s="35"/>
      <c r="E19" s="35"/>
      <c r="F19" s="200"/>
      <c r="G19" s="47"/>
      <c r="H19" s="47"/>
      <c r="I19" s="200"/>
      <c r="J19" s="47"/>
      <c r="K19" s="47"/>
      <c r="L19" s="200"/>
      <c r="M19" s="47"/>
      <c r="N19" s="47"/>
    </row>
    <row r="20" spans="1:14" s="37" customFormat="1" ht="69" customHeight="1">
      <c r="A20" s="17" t="s">
        <v>676</v>
      </c>
      <c r="B20" s="35" t="s">
        <v>213</v>
      </c>
      <c r="C20" s="35" t="s">
        <v>147</v>
      </c>
      <c r="D20" s="35" t="s">
        <v>657</v>
      </c>
      <c r="E20" s="35" t="s">
        <v>271</v>
      </c>
      <c r="F20" s="119">
        <f>G20+H20</f>
        <v>1205</v>
      </c>
      <c r="G20" s="83">
        <v>0</v>
      </c>
      <c r="H20" s="83">
        <f>2160-955</f>
        <v>1205</v>
      </c>
      <c r="I20" s="119">
        <f>J20+K20</f>
        <v>2160</v>
      </c>
      <c r="J20" s="83">
        <v>0</v>
      </c>
      <c r="K20" s="83">
        <v>2160</v>
      </c>
      <c r="L20" s="119">
        <f>M20+N20</f>
        <v>2160</v>
      </c>
      <c r="M20" s="83">
        <v>0</v>
      </c>
      <c r="N20" s="83">
        <v>2160</v>
      </c>
    </row>
    <row r="21" spans="1:14" s="37" customFormat="1" ht="23.25" customHeight="1">
      <c r="A21" s="73" t="s">
        <v>384</v>
      </c>
      <c r="B21" s="35" t="s">
        <v>213</v>
      </c>
      <c r="C21" s="35" t="s">
        <v>151</v>
      </c>
      <c r="D21" s="35"/>
      <c r="E21" s="35"/>
      <c r="F21" s="200"/>
      <c r="G21" s="47"/>
      <c r="H21" s="47"/>
      <c r="I21" s="200"/>
      <c r="J21" s="47"/>
      <c r="K21" s="47"/>
      <c r="L21" s="200"/>
      <c r="M21" s="47"/>
      <c r="N21" s="47"/>
    </row>
    <row r="22" spans="1:14" s="37" customFormat="1" ht="114" customHeight="1" hidden="1">
      <c r="A22" s="53" t="s">
        <v>645</v>
      </c>
      <c r="B22" s="35" t="s">
        <v>213</v>
      </c>
      <c r="C22" s="35" t="s">
        <v>151</v>
      </c>
      <c r="D22" s="35"/>
      <c r="E22" s="35"/>
      <c r="F22" s="200"/>
      <c r="G22" s="47"/>
      <c r="H22" s="47"/>
      <c r="I22" s="200"/>
      <c r="J22" s="47"/>
      <c r="K22" s="47"/>
      <c r="L22" s="200"/>
      <c r="M22" s="47"/>
      <c r="N22" s="47"/>
    </row>
    <row r="23" spans="1:15" s="37" customFormat="1" ht="73.5" customHeight="1">
      <c r="A23" s="44" t="s">
        <v>675</v>
      </c>
      <c r="B23" s="35" t="s">
        <v>213</v>
      </c>
      <c r="C23" s="35" t="s">
        <v>151</v>
      </c>
      <c r="D23" s="35" t="s">
        <v>663</v>
      </c>
      <c r="E23" s="35" t="s">
        <v>196</v>
      </c>
      <c r="F23" s="119">
        <f>G23+H23</f>
        <v>12063.829310000001</v>
      </c>
      <c r="G23" s="83"/>
      <c r="H23" s="83">
        <f>14649.63122-1788.71266-1497.08925+700</f>
        <v>12063.829310000001</v>
      </c>
      <c r="I23" s="119">
        <f>J23+K23</f>
        <v>14927.75311</v>
      </c>
      <c r="J23" s="83"/>
      <c r="K23" s="83">
        <v>14927.75311</v>
      </c>
      <c r="L23" s="119">
        <f>M23+N23</f>
        <v>15217.0012</v>
      </c>
      <c r="M23" s="83"/>
      <c r="N23" s="83">
        <v>15217.0012</v>
      </c>
      <c r="O23" s="187"/>
    </row>
    <row r="24" spans="1:14" s="37" customFormat="1" ht="86.25" customHeight="1" hidden="1">
      <c r="A24" s="53" t="s">
        <v>647</v>
      </c>
      <c r="B24" s="35"/>
      <c r="C24" s="35"/>
      <c r="D24" s="35"/>
      <c r="E24" s="35"/>
      <c r="F24" s="119"/>
      <c r="G24" s="83"/>
      <c r="H24" s="83"/>
      <c r="I24" s="119"/>
      <c r="J24" s="83"/>
      <c r="K24" s="83"/>
      <c r="L24" s="119"/>
      <c r="M24" s="83"/>
      <c r="N24" s="83"/>
    </row>
    <row r="25" spans="1:14" s="37" customFormat="1" ht="46.5" customHeight="1">
      <c r="A25" s="44" t="s">
        <v>677</v>
      </c>
      <c r="B25" s="35" t="s">
        <v>213</v>
      </c>
      <c r="C25" s="35" t="s">
        <v>151</v>
      </c>
      <c r="D25" s="35" t="s">
        <v>664</v>
      </c>
      <c r="E25" s="35" t="s">
        <v>196</v>
      </c>
      <c r="F25" s="119">
        <f>G25+H25</f>
        <v>237.57751000000002</v>
      </c>
      <c r="G25" s="83"/>
      <c r="H25" s="83">
        <f>530.28251-5-287.705</f>
        <v>237.57751000000002</v>
      </c>
      <c r="I25" s="119">
        <f>J25+K25</f>
        <v>546.4939</v>
      </c>
      <c r="J25" s="83"/>
      <c r="K25" s="83">
        <v>546.4939</v>
      </c>
      <c r="L25" s="119">
        <f>M25+N25</f>
        <v>568.55666</v>
      </c>
      <c r="M25" s="83"/>
      <c r="N25" s="83">
        <f>573.55666-5</f>
        <v>568.55666</v>
      </c>
    </row>
    <row r="26" spans="1:14" s="37" customFormat="1" ht="57" customHeight="1" hidden="1">
      <c r="A26" s="73" t="s">
        <v>453</v>
      </c>
      <c r="B26" s="35" t="s">
        <v>213</v>
      </c>
      <c r="C26" s="35" t="s">
        <v>151</v>
      </c>
      <c r="D26" s="35"/>
      <c r="E26" s="35"/>
      <c r="F26" s="119"/>
      <c r="G26" s="83"/>
      <c r="H26" s="83"/>
      <c r="I26" s="119"/>
      <c r="J26" s="83"/>
      <c r="K26" s="83"/>
      <c r="L26" s="119"/>
      <c r="M26" s="83"/>
      <c r="N26" s="83"/>
    </row>
    <row r="27" spans="1:14" s="25" customFormat="1" ht="18" customHeight="1" hidden="1">
      <c r="A27" s="53" t="s">
        <v>215</v>
      </c>
      <c r="B27" s="35" t="s">
        <v>213</v>
      </c>
      <c r="C27" s="35" t="s">
        <v>151</v>
      </c>
      <c r="D27" s="35"/>
      <c r="E27" s="35"/>
      <c r="F27" s="119"/>
      <c r="G27" s="83"/>
      <c r="H27" s="83"/>
      <c r="I27" s="119"/>
      <c r="J27" s="83"/>
      <c r="K27" s="83"/>
      <c r="L27" s="119"/>
      <c r="M27" s="83"/>
      <c r="N27" s="83"/>
    </row>
    <row r="28" spans="1:14" s="25" customFormat="1" ht="68.25" customHeight="1">
      <c r="A28" s="17" t="s">
        <v>678</v>
      </c>
      <c r="B28" s="35" t="s">
        <v>213</v>
      </c>
      <c r="C28" s="35" t="s">
        <v>151</v>
      </c>
      <c r="D28" s="35" t="s">
        <v>85</v>
      </c>
      <c r="E28" s="35" t="s">
        <v>196</v>
      </c>
      <c r="F28" s="119">
        <f>G28+H28</f>
        <v>3544.72</v>
      </c>
      <c r="G28" s="83">
        <v>0</v>
      </c>
      <c r="H28" s="83">
        <f>6035.259-2490.539</f>
        <v>3544.72</v>
      </c>
      <c r="I28" s="119">
        <f>J28+K28</f>
        <v>1333.599</v>
      </c>
      <c r="J28" s="83">
        <v>0</v>
      </c>
      <c r="K28" s="83">
        <v>1333.599</v>
      </c>
      <c r="L28" s="119">
        <f>M28+N28</f>
        <v>807.656</v>
      </c>
      <c r="M28" s="83">
        <v>0</v>
      </c>
      <c r="N28" s="83">
        <v>807.656</v>
      </c>
    </row>
    <row r="29" spans="1:14" s="25" customFormat="1" ht="66" customHeight="1" hidden="1">
      <c r="A29" s="53" t="s">
        <v>175</v>
      </c>
      <c r="B29" s="35" t="s">
        <v>213</v>
      </c>
      <c r="C29" s="35" t="s">
        <v>151</v>
      </c>
      <c r="D29" s="35"/>
      <c r="E29" s="35"/>
      <c r="F29" s="119"/>
      <c r="G29" s="118"/>
      <c r="H29" s="83"/>
      <c r="I29" s="119"/>
      <c r="J29" s="118"/>
      <c r="K29" s="83"/>
      <c r="L29" s="119"/>
      <c r="M29" s="118"/>
      <c r="N29" s="83"/>
    </row>
    <row r="30" spans="1:14" s="25" customFormat="1" ht="69.75" customHeight="1">
      <c r="A30" s="17" t="s">
        <v>679</v>
      </c>
      <c r="B30" s="35" t="s">
        <v>213</v>
      </c>
      <c r="C30" s="35" t="s">
        <v>151</v>
      </c>
      <c r="D30" s="35" t="s">
        <v>62</v>
      </c>
      <c r="E30" s="35" t="s">
        <v>196</v>
      </c>
      <c r="F30" s="119">
        <f>G30+H30</f>
        <v>300</v>
      </c>
      <c r="G30" s="118">
        <v>0</v>
      </c>
      <c r="H30" s="83">
        <v>300</v>
      </c>
      <c r="I30" s="119">
        <f>J30+K30</f>
        <v>0</v>
      </c>
      <c r="J30" s="118">
        <v>0</v>
      </c>
      <c r="K30" s="83">
        <v>0</v>
      </c>
      <c r="L30" s="119">
        <f>M30+N30</f>
        <v>0</v>
      </c>
      <c r="M30" s="118">
        <v>0</v>
      </c>
      <c r="N30" s="83">
        <v>0</v>
      </c>
    </row>
    <row r="31" spans="1:14" ht="18" customHeight="1">
      <c r="A31" s="62" t="s">
        <v>228</v>
      </c>
      <c r="B31" s="4"/>
      <c r="C31" s="4"/>
      <c r="D31" s="4"/>
      <c r="E31" s="4"/>
      <c r="F31" s="114">
        <f>F15+F23+F25+F18+F20+F28+F30</f>
        <v>18118.72682</v>
      </c>
      <c r="G31" s="111">
        <f aca="true" t="shared" si="0" ref="G31:N31">G15+G23+G25+G18+G20+G28+G30</f>
        <v>767.6</v>
      </c>
      <c r="H31" s="111">
        <f t="shared" si="0"/>
        <v>17351.12682</v>
      </c>
      <c r="I31" s="114">
        <f t="shared" si="0"/>
        <v>19650.846009999997</v>
      </c>
      <c r="J31" s="111">
        <f t="shared" si="0"/>
        <v>683</v>
      </c>
      <c r="K31" s="111">
        <f t="shared" si="0"/>
        <v>18967.846009999997</v>
      </c>
      <c r="L31" s="114">
        <f t="shared" si="0"/>
        <v>19436.21386</v>
      </c>
      <c r="M31" s="111">
        <f t="shared" si="0"/>
        <v>683</v>
      </c>
      <c r="N31" s="111">
        <f t="shared" si="0"/>
        <v>18753.21386</v>
      </c>
    </row>
    <row r="32" spans="6:7" ht="15">
      <c r="F32" s="342"/>
      <c r="G32" s="201"/>
    </row>
    <row r="33" spans="1:8" ht="15">
      <c r="A33" s="9"/>
      <c r="B33" s="9"/>
      <c r="C33" s="202"/>
      <c r="D33" s="202"/>
      <c r="E33" s="202"/>
      <c r="F33" s="203"/>
      <c r="G33" s="192"/>
      <c r="H33" s="203"/>
    </row>
    <row r="34" spans="4:7" ht="15">
      <c r="D34" s="257"/>
      <c r="E34" s="257"/>
      <c r="F34" s="257"/>
      <c r="G34" s="192"/>
    </row>
  </sheetData>
  <sheetProtection/>
  <mergeCells count="22">
    <mergeCell ref="A10:A11"/>
    <mergeCell ref="B10:B11"/>
    <mergeCell ref="C10:C11"/>
    <mergeCell ref="D10:D11"/>
    <mergeCell ref="E10:E11"/>
    <mergeCell ref="F10:F11"/>
    <mergeCell ref="F2:H2"/>
    <mergeCell ref="F3:H3"/>
    <mergeCell ref="F4:H4"/>
    <mergeCell ref="G10:H10"/>
    <mergeCell ref="L10:L11"/>
    <mergeCell ref="D34:F34"/>
    <mergeCell ref="M10:N10"/>
    <mergeCell ref="L1:N1"/>
    <mergeCell ref="L2:N2"/>
    <mergeCell ref="L3:N3"/>
    <mergeCell ref="L4:N4"/>
    <mergeCell ref="I10:I11"/>
    <mergeCell ref="J10:K10"/>
    <mergeCell ref="A6:N6"/>
    <mergeCell ref="A7:N8"/>
    <mergeCell ref="F1:H1"/>
  </mergeCells>
  <printOptions/>
  <pageMargins left="0.7" right="0.7" top="0.75" bottom="0.75" header="0.3" footer="0.3"/>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fin540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wert</dc:creator>
  <cp:keywords/>
  <dc:description/>
  <cp:lastModifiedBy>Гвоздик </cp:lastModifiedBy>
  <cp:lastPrinted>2021-12-24T03:47:40Z</cp:lastPrinted>
  <dcterms:created xsi:type="dcterms:W3CDTF">2008-10-27T01:25:53Z</dcterms:created>
  <dcterms:modified xsi:type="dcterms:W3CDTF">2021-12-28T06:51:33Z</dcterms:modified>
  <cp:category/>
  <cp:version/>
  <cp:contentType/>
  <cp:contentStatus/>
</cp:coreProperties>
</file>