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6" windowWidth="8388" windowHeight="5088" tabRatio="848" activeTab="7"/>
  </bookViews>
  <sheets>
    <sheet name="1" sheetId="1" r:id="rId1"/>
    <sheet name="2" sheetId="2" r:id="rId2"/>
    <sheet name="3" sheetId="3" r:id="rId3"/>
    <sheet name="4" sheetId="4" r:id="rId4"/>
    <sheet name="5" sheetId="5" r:id="rId5"/>
    <sheet name="7" sheetId="6" r:id="rId6"/>
    <sheet name="10" sheetId="7" r:id="rId7"/>
    <sheet name="11" sheetId="8" r:id="rId8"/>
  </sheets>
  <definedNames>
    <definedName name="_xlnm.Print_Titles" localSheetId="1">'2'!$8:$9</definedName>
    <definedName name="_xlnm.Print_Area" localSheetId="0">'1'!$A$1:$C$21</definedName>
    <definedName name="_xlnm.Print_Area" localSheetId="6">'10'!$A$1:$N$31</definedName>
    <definedName name="_xlnm.Print_Area" localSheetId="1">'2'!$A$1:$F$90</definedName>
    <definedName name="_xlnm.Print_Area" localSheetId="2">'3'!$A$1:$H$754</definedName>
    <definedName name="_xlnm.Print_Area" localSheetId="3">'4'!$A$1:$I$789</definedName>
    <definedName name="_xlnm.Print_Area" localSheetId="4">'5'!$A$1:$D$265</definedName>
    <definedName name="_xlnm.Print_Area" localSheetId="5">'7'!$A$1:$G$17</definedName>
  </definedNames>
  <calcPr fullCalcOnLoad="1"/>
</workbook>
</file>

<file path=xl/sharedStrings.xml><?xml version="1.0" encoding="utf-8"?>
<sst xmlns="http://schemas.openxmlformats.org/spreadsheetml/2006/main" count="8985" uniqueCount="998">
  <si>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</si>
  <si>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</si>
  <si>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</si>
  <si>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</si>
  <si>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Наименование поселений</t>
  </si>
  <si>
    <t>Кировское городское поселение</t>
  </si>
  <si>
    <t>Горненское городское поселение</t>
  </si>
  <si>
    <t>Крыловское сельское поселение</t>
  </si>
  <si>
    <t>Руновское сельское поселение</t>
  </si>
  <si>
    <t>Хвищанское сельское поселение</t>
  </si>
  <si>
    <t>Всего</t>
  </si>
  <si>
    <t xml:space="preserve">                        к решению Думы Кировского</t>
  </si>
  <si>
    <t xml:space="preserve">                          муниципального района</t>
  </si>
  <si>
    <t>1 11 05013 05 0000 120</t>
  </si>
  <si>
    <t>Другие вопросы в области культуры, кинематографии</t>
  </si>
  <si>
    <t>1 11 05013 10 0000 120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</si>
  <si>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</si>
  <si>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9900000000</t>
  </si>
  <si>
    <t>9990000000</t>
  </si>
  <si>
    <t>9990010010</t>
  </si>
  <si>
    <t>9990010020</t>
  </si>
  <si>
    <t>9990010030</t>
  </si>
  <si>
    <t>9990010040</t>
  </si>
  <si>
    <t>9990093100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</si>
  <si>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</si>
  <si>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</si>
  <si>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</si>
  <si>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</si>
  <si>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9990010080</t>
  </si>
  <si>
    <t>9990010090</t>
  </si>
  <si>
    <t>9990010101</t>
  </si>
  <si>
    <t>9990010102</t>
  </si>
  <si>
    <t>9990010103</t>
  </si>
  <si>
    <t>9990093120</t>
  </si>
  <si>
    <t>0800000000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</si>
  <si>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</si>
  <si>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</si>
  <si>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</si>
  <si>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</si>
  <si>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</si>
  <si>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</si>
  <si>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</si>
  <si>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</si>
  <si>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</si>
  <si>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</si>
  <si>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</si>
  <si>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</si>
  <si>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</si>
  <si>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</si>
  <si>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</si>
  <si>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</si>
  <si>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</si>
  <si>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</si>
  <si>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</si>
  <si>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</si>
  <si>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</si>
  <si>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</si>
  <si>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</si>
  <si>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</si>
  <si>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</si>
  <si>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</si>
  <si>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</si>
  <si>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</si>
  <si>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</si>
  <si>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</si>
  <si>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</si>
  <si>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</si>
  <si>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</si>
  <si>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</si>
  <si>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</si>
  <si>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</si>
  <si>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</si>
  <si>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</si>
  <si>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</si>
  <si>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</si>
  <si>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</si>
  <si>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</si>
  <si>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</si>
  <si>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</si>
  <si>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</si>
  <si>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</si>
  <si>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</si>
  <si>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</si>
  <si>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</si>
  <si>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</si>
  <si>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</si>
  <si>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</si>
  <si>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</si>
  <si>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</si>
  <si>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</si>
  <si>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</si>
  <si>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</si>
  <si>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</si>
  <si>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</si>
  <si>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</si>
  <si>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</si>
  <si>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</si>
  <si>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9990010105</t>
  </si>
  <si>
    <t>9990010106</t>
  </si>
  <si>
    <t>9990010107</t>
  </si>
  <si>
    <t>9990010108</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</si>
  <si>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</si>
  <si>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</si>
  <si>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0800020140</t>
  </si>
  <si>
    <t>060000000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</si>
  <si>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</si>
  <si>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</si>
  <si>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</si>
  <si>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</si>
  <si>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</si>
  <si>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</si>
  <si>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</si>
  <si>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первичного воинского учета на территориях, где отсутствуют военные комиссариаты</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</si>
  <si>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</si>
  <si>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</si>
  <si>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</si>
  <si>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</si>
  <si>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</si>
  <si>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</si>
  <si>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</si>
  <si>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</si>
  <si>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</si>
  <si>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Председатель Думы муниципального образования</t>
  </si>
  <si>
    <t>Председатель КСК</t>
  </si>
  <si>
    <t>Исполнительные листы</t>
  </si>
  <si>
    <t>Оценка недвижимости</t>
  </si>
  <si>
    <t xml:space="preserve">Программные направления деятельности органов местного самоуправления </t>
  </si>
  <si>
    <t>Всего  непрограммные мероприятия</t>
  </si>
  <si>
    <t>620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</si>
  <si>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</si>
  <si>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(МБУ ДОД "ДЮЦ")</t>
  </si>
  <si>
    <t>Субсидии бюджетным учреждениям (МБУ ВПЦ "Патриот")</t>
  </si>
  <si>
    <t>022933040</t>
  </si>
  <si>
    <t>Муниципальная программа "Развитие малого и среднего предпринимательства в Кировском муниципальном районе на 2014-2017 годы"</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</si>
  <si>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</si>
  <si>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образования</t>
  </si>
  <si>
    <t>Муниципальная программа "Развитие образования в Кировском муниципальном районе на 2014-2017  годы"</t>
  </si>
  <si>
    <t>за счет средств местного бюджета</t>
  </si>
  <si>
    <t>подразделам, целевым статьям и видам расходов в соответствии с классификацией расходов</t>
  </si>
  <si>
    <t>(тыс. руб.)</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</si>
  <si>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</si>
  <si>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</si>
  <si>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</si>
  <si>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</si>
  <si>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</si>
  <si>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</si>
  <si>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</si>
  <si>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</si>
  <si>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</si>
  <si>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</si>
  <si>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</si>
  <si>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</si>
  <si>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</si>
  <si>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</si>
  <si>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</si>
  <si>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</si>
  <si>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</si>
  <si>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</si>
  <si>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</si>
  <si>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</si>
  <si>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</si>
  <si>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</si>
  <si>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</si>
  <si>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</si>
  <si>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</si>
  <si>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</si>
  <si>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</si>
  <si>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Резервный фонд Администрации Кировского муниципального района</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</si>
  <si>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</si>
  <si>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</si>
  <si>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</si>
  <si>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</si>
  <si>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 xml:space="preserve">Общее образование </t>
  </si>
  <si>
    <t>1 11 05035 05 0000 120</t>
  </si>
  <si>
    <t>Дотации бюджетам муниципальных районов на выравнивание бюджетной обеспеченности</t>
  </si>
  <si>
    <t>(тыс.руб.)</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</si>
  <si>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</si>
  <si>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</si>
  <si>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</si>
  <si>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</si>
  <si>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</si>
  <si>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</si>
  <si>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</si>
  <si>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Субвенции на организацию и обеспечение оздоровления и отдыха детей Приморского края ( за исключением организации отдыха детей в каникулярное время)</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</si>
  <si>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</si>
  <si>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</si>
  <si>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</si>
  <si>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</si>
  <si>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</si>
  <si>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</si>
  <si>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</si>
  <si>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</si>
  <si>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</si>
  <si>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</si>
  <si>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</si>
  <si>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</si>
  <si>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</si>
  <si>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</si>
  <si>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</si>
  <si>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</si>
  <si>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</si>
  <si>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</si>
  <si>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</si>
  <si>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</si>
  <si>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</si>
  <si>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</si>
  <si>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</si>
  <si>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</si>
  <si>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</si>
  <si>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</si>
  <si>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</si>
  <si>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</si>
  <si>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</si>
  <si>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</si>
  <si>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</si>
  <si>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</si>
  <si>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Мероприятия по развитию и поддержке клубов</t>
  </si>
  <si>
    <t>7952111</t>
  </si>
  <si>
    <t>Мероприятия по развитию и поддержке библиотек</t>
  </si>
  <si>
    <t>7952121</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</si>
  <si>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</si>
  <si>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</si>
  <si>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</si>
  <si>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</si>
  <si>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</si>
  <si>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</si>
  <si>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</si>
  <si>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</si>
  <si>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</si>
  <si>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</si>
  <si>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</si>
  <si>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</si>
  <si>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</si>
  <si>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Горноключевское городское поселение</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</si>
  <si>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</si>
  <si>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</si>
  <si>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Всего расходов</t>
  </si>
  <si>
    <t>за счет средств краевого  бюджета</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</si>
  <si>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</si>
  <si>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</si>
  <si>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</si>
  <si>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</si>
  <si>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</si>
  <si>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</si>
  <si>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</si>
  <si>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</si>
  <si>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</si>
  <si>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</si>
  <si>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</si>
  <si>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</si>
  <si>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</si>
  <si>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</si>
  <si>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</si>
  <si>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</si>
  <si>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</si>
  <si>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</si>
  <si>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</si>
  <si>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</si>
  <si>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</si>
  <si>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</si>
  <si>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налог на вмененный доход для отдельных видов деятельности</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</si>
  <si>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</si>
  <si>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</si>
  <si>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</si>
  <si>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</si>
  <si>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</si>
  <si>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</si>
  <si>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</si>
  <si>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</si>
  <si>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</si>
  <si>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</si>
  <si>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</si>
  <si>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</si>
  <si>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</si>
  <si>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</si>
  <si>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</si>
  <si>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9900004</t>
  </si>
  <si>
    <t>Муниципальная программа "Доступная среда для инвалидов в Кировском муниципальном районе на 2016-2019 годы"</t>
  </si>
  <si>
    <t>Дотации от других бюджетов бюджетной системы Российской Федерации</t>
  </si>
  <si>
    <t>610</t>
  </si>
  <si>
    <t>краевой  бюджет</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</si>
  <si>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</si>
  <si>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</si>
  <si>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</si>
  <si>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Ве-домст-во</t>
  </si>
  <si>
    <t>Мероприятия по развитию физкультуры и спорта</t>
  </si>
  <si>
    <t>Субсидии организациям, образующим инфракструктуру поддержки субьектов малого и среднего предпринимательства на возмещение затрат, связанных с проведением мероприятий по повышению эффективности и конкурентноспособности субъектов малого и среднего предпринимательства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</si>
  <si>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</si>
  <si>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</si>
  <si>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</si>
  <si>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</si>
  <si>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</si>
  <si>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</si>
  <si>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</si>
  <si>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</si>
  <si>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</si>
  <si>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</si>
  <si>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</si>
  <si>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</si>
  <si>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</si>
  <si>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</si>
  <si>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</si>
  <si>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</si>
  <si>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</si>
  <si>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</si>
  <si>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</si>
  <si>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</si>
  <si>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Ед.изм.</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</si>
  <si>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</si>
  <si>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</si>
  <si>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</si>
  <si>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</si>
  <si>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</si>
  <si>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9999000070</t>
  </si>
  <si>
    <t>Администрация Кировского муниципального района</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</si>
  <si>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</si>
  <si>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</si>
  <si>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1 17 05000 00 0000 180</t>
  </si>
  <si>
    <t>ПРОЧИЕ НЕНАЛОГОВЫЕ ДОХОДЫ</t>
  </si>
  <si>
    <t>Мероприятия по предупреждению развития наркомании в районе</t>
  </si>
  <si>
    <t>1 17 05050 05 0000 180</t>
  </si>
  <si>
    <t>730</t>
  </si>
  <si>
    <t>Прочие неналоговые доходы бюджетов муниципальных районов</t>
  </si>
  <si>
    <t>9999000040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</si>
  <si>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</si>
  <si>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Социальная политика</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</si>
  <si>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</si>
  <si>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1 11 05075 05 0000 120</t>
  </si>
  <si>
    <t>Доходы от сдачи в аренду имущества, составляющего казну муниципальных районов (за исключением земельных участков)</t>
  </si>
  <si>
    <t>Субсидии бюджетным учреждениям  (МБУ "КДЦ")</t>
  </si>
  <si>
    <t>Субсидии бюджетным учреждениям (МБУ "КДЦ")</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</si>
  <si>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</si>
  <si>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</si>
  <si>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тыс. руб.</t>
  </si>
  <si>
    <t>Массовый спорт</t>
  </si>
  <si>
    <t>Прочие межбюджетные трансферты общего характера</t>
  </si>
  <si>
    <t>Наименование</t>
  </si>
  <si>
    <t>Ведомство</t>
  </si>
  <si>
    <t>Целевая статья</t>
  </si>
  <si>
    <t>Вид расх</t>
  </si>
  <si>
    <t>в том числе:</t>
  </si>
  <si>
    <t>местный бюджет</t>
  </si>
  <si>
    <t>Учреждение: Администрация Кировского муниципального района</t>
  </si>
  <si>
    <t>Общегосударственные вопросы</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</si>
  <si>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</si>
  <si>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</si>
  <si>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</si>
  <si>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</si>
  <si>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</si>
  <si>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</si>
  <si>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</si>
  <si>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</si>
  <si>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</si>
  <si>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</si>
  <si>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Мобилизационная и вневойсковая подготовка</t>
  </si>
  <si>
    <t>Другие вопросы в области жилищно-коммунального хозяйства</t>
  </si>
  <si>
    <t>Образование</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</si>
  <si>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</si>
  <si>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</si>
  <si>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(тыс. руб. )</t>
  </si>
  <si>
    <t>НАЦИОНАЛЬНАЯ ОБОРОНА</t>
  </si>
  <si>
    <t>Субвенции на осуществление первичного воинского учета на территориях, где отсутствуют военные комиссариаты</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</si>
  <si>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</si>
  <si>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</si>
  <si>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</si>
  <si>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</si>
  <si>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</si>
  <si>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</si>
  <si>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</si>
  <si>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</si>
  <si>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</si>
  <si>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</si>
  <si>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</si>
  <si>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организациям, образующим инфраструктуру поддержки субъектов малого и среднего предпринимательства, на возмещение затрат, связанных с проведением мероприятий по повышению эффективности и конкурентоспособности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</si>
  <si>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</si>
  <si>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</si>
  <si>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</si>
  <si>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</si>
  <si>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</si>
  <si>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</si>
  <si>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</si>
  <si>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 xml:space="preserve">Горненское сельское поселение </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</si>
  <si>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</si>
  <si>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</si>
  <si>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</si>
  <si>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</si>
  <si>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</si>
  <si>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</si>
  <si>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</si>
  <si>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</si>
  <si>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</si>
  <si>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</si>
  <si>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</si>
  <si>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</si>
  <si>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</si>
  <si>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</si>
  <si>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</si>
  <si>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0000000</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</si>
  <si>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</si>
  <si>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</si>
  <si>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</si>
  <si>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</si>
  <si>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</si>
  <si>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</si>
  <si>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</si>
  <si>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</si>
  <si>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</si>
  <si>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</si>
  <si>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</si>
  <si>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1 05 02000 02 0000 110</t>
  </si>
  <si>
    <t>1 05 03000 01 0000 110</t>
  </si>
  <si>
    <t>ДОХОДЫ ОТ ИСПОЛЬЗОВАНИЯ ИМУЩЕСТВА НАХОДЯЩЕГОСЯ В ГОСУДАРСТВЕННОЙ И МУНИЦИПАЛЬНОЙ СОБСТВЕННОСТИ</t>
  </si>
  <si>
    <t>Субсидии автономным учреждениям</t>
  </si>
  <si>
    <t>Субсидии из местного бюджета на содержание многофункциональных центров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</si>
  <si>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</si>
  <si>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</si>
  <si>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1 13 02995 05 0000 130</t>
  </si>
  <si>
    <t>Прочие доходы от компенсации затрат бюджетов муниципальных районов</t>
  </si>
  <si>
    <t>1 14 02050 05 0000 410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</si>
  <si>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</si>
  <si>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</si>
  <si>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 Доступная среда для инвалидов в Кировском муниципальном районе на 2016-2019 годы"</t>
  </si>
  <si>
    <t>Субсидии бюджетным организациям</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</si>
  <si>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</si>
  <si>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</si>
  <si>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0595144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</si>
  <si>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</si>
  <si>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</si>
  <si>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</si>
  <si>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</si>
  <si>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</si>
  <si>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</si>
  <si>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</si>
  <si>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</si>
  <si>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</si>
  <si>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</si>
  <si>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</si>
  <si>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</si>
  <si>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</si>
  <si>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</si>
  <si>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</si>
  <si>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</si>
  <si>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Приложение № 2</t>
  </si>
  <si>
    <t>9990051200</t>
  </si>
  <si>
    <t>Подпрограмма № 6 «Организация отдыха  детей»</t>
  </si>
  <si>
    <t>Подпрограмма № 8 "Молодежь Кировского района"</t>
  </si>
  <si>
    <t>0800092070</t>
  </si>
  <si>
    <t>Муниципальная программа "Развитие малого и среднего предпринимательства в Кировском муниципальном районе на 2018-2022 годы"</t>
  </si>
  <si>
    <t>0900000000</t>
  </si>
  <si>
    <t>0900090960</t>
  </si>
  <si>
    <t>1000000000</t>
  </si>
  <si>
    <t>1000020140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</si>
  <si>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</si>
  <si>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</si>
  <si>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 xml:space="preserve"> 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</si>
  <si>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терроризма и экстремизма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</si>
  <si>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</si>
  <si>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</si>
  <si>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</si>
  <si>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Подпрограмма № 9 «Предупреждение развития наркомании в районе»</t>
  </si>
  <si>
    <t>Муниципальная программа «Развитие малого и среднего предпринимательства в Кировском муниципальном районе на 2018-2022 годы»</t>
  </si>
  <si>
    <t>Доплата к  пенсии  муниципальным служащим</t>
  </si>
  <si>
    <t>Муниципальная программа «Развитие образования в Кировском муниципальном районе на 2018-2022 гг.»</t>
  </si>
  <si>
    <t>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</si>
  <si>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экстремизма и терроризма на территории Кировского района на 2018-2022 годы"</t>
  </si>
  <si>
    <t>Муниципальная программа "Сохранение и развитие культуры в Кировском муниципальном районе на 2018-2022 годы"</t>
  </si>
  <si>
    <t>Муниципальная программа "Патриотическое воспитание граждан в Кировском муниципальном районе на 2018-2022 годы"</t>
  </si>
  <si>
    <t>Муниципальная программа "Профилактика экстремизма и терроризма на территории Кировского муниципального района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</si>
  <si>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</si>
  <si>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</si>
  <si>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</si>
  <si>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</si>
  <si>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</si>
  <si>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</si>
  <si>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</si>
  <si>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</si>
  <si>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</si>
  <si>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0180020000</t>
  </si>
  <si>
    <t>0700020270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</si>
  <si>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</si>
  <si>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</si>
  <si>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</si>
  <si>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Обеспечение проведения выборов и референдумов</t>
  </si>
  <si>
    <t>Непрограммные направления деятельности муниципальных органов</t>
  </si>
  <si>
    <t>Проведение выборов в представительные органы муниципального образования</t>
  </si>
  <si>
    <t>9990010109</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</si>
  <si>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</si>
  <si>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</si>
  <si>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</si>
  <si>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</si>
  <si>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</si>
  <si>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</si>
  <si>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</si>
  <si>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</si>
  <si>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</si>
  <si>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</si>
  <si>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Сумма на 2021 год</t>
  </si>
  <si>
    <t>Приложение  № 3</t>
  </si>
  <si>
    <t>1200093110</t>
  </si>
  <si>
    <t>1200012261</t>
  </si>
  <si>
    <t>1200012262</t>
  </si>
  <si>
    <t>1200012263</t>
  </si>
  <si>
    <t>1200051180</t>
  </si>
  <si>
    <t>1100000000</t>
  </si>
  <si>
    <t>1100011160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</si>
  <si>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</si>
  <si>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1200000000</t>
  </si>
  <si>
    <t>0700020271</t>
  </si>
  <si>
    <t>0700020272</t>
  </si>
  <si>
    <t>Субвенции на осуществление первичного воинского учета на территориях, где отсутствуют военные комиссариаты (межбюджетные трансферты)</t>
  </si>
  <si>
    <t>Процентные платежи по муниципальному долгу</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</si>
  <si>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</si>
  <si>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</si>
  <si>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</si>
  <si>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</si>
  <si>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</si>
  <si>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</si>
  <si>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</si>
  <si>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t>
  </si>
  <si>
    <t>Меропрятия по ликвидации МАУ "МФЦ"</t>
  </si>
  <si>
    <t>9990010120</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</si>
  <si>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</si>
  <si>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2 02 35930 05 0000 150</t>
  </si>
  <si>
    <t>2 02 30000 00 0000 150</t>
  </si>
  <si>
    <t>2 02 15002 05 0000 150</t>
  </si>
  <si>
    <t>2 02 35120 05 0000 150</t>
  </si>
  <si>
    <t>2 02 30024 05 0000 150</t>
  </si>
  <si>
    <t>Специальные расходы</t>
  </si>
  <si>
    <t>880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</si>
  <si>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</si>
  <si>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</si>
  <si>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</si>
  <si>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</si>
  <si>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</si>
  <si>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</si>
  <si>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</si>
  <si>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</si>
  <si>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</si>
  <si>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</si>
  <si>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</si>
  <si>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</si>
  <si>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</si>
  <si>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</si>
  <si>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</si>
  <si>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</si>
  <si>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</si>
  <si>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</si>
  <si>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</si>
  <si>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</si>
  <si>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</si>
  <si>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</si>
  <si>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</si>
  <si>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</si>
  <si>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</si>
  <si>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0110020000</t>
  </si>
  <si>
    <t>011E250970</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</si>
  <si>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</si>
  <si>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</si>
  <si>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</si>
  <si>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</si>
  <si>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</si>
  <si>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</si>
  <si>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</si>
  <si>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</si>
  <si>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</si>
  <si>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</si>
  <si>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</si>
  <si>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0620020141</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</si>
  <si>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</si>
  <si>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</si>
  <si>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</si>
  <si>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</si>
  <si>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</si>
  <si>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</si>
  <si>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</si>
  <si>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</si>
  <si>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040P592190</t>
  </si>
  <si>
    <t xml:space="preserve">Предоставление субсидий бюджетным, автономным учреждениям и иным некоммерческим организациям </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</si>
  <si>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</si>
  <si>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</si>
  <si>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</si>
  <si>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</si>
  <si>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</si>
  <si>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</si>
  <si>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</si>
  <si>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</si>
  <si>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</si>
  <si>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rPr>
      <t>(администрация КМР)</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</si>
  <si>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</si>
  <si>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</si>
  <si>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</si>
  <si>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1"/>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</si>
  <si>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</si>
  <si>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</si>
  <si>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</si>
  <si>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</si>
  <si>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</si>
  <si>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Субсидии бюджетам муниципальных образований Приморского края на создание в общеобразовательных организациях, расположенных в сельской местности, условий для занятий физической культурой и спортом (краевой бюджет)</t>
  </si>
  <si>
    <t xml:space="preserve">Субвенции  на обеспечение   бесплатным питанием детей, обучающихся муниципальных общеобразовательных учреждениях </t>
  </si>
  <si>
    <t>952</t>
  </si>
  <si>
    <t>953</t>
  </si>
  <si>
    <t>954</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</si>
  <si>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</si>
  <si>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</si>
  <si>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</si>
  <si>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</si>
  <si>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</si>
  <si>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</si>
  <si>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</si>
  <si>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2 02 15000 00 0000 150</t>
  </si>
  <si>
    <t>2 02 29999 05 0000 150</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</si>
  <si>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</si>
  <si>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</si>
  <si>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</si>
  <si>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</si>
  <si>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</si>
  <si>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</si>
  <si>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Сумма на 2022 год</t>
  </si>
  <si>
    <t>Налог, взимаемый в связи с применением упрощенной системы налогообложения</t>
  </si>
  <si>
    <t>Общий объем на 2022 г.</t>
  </si>
  <si>
    <r>
      <rPr>
        <i/>
        <sz val="11"/>
        <rFont val="Times New Roman"/>
        <family val="1"/>
      </rPr>
      <t>Субсидии</t>
    </r>
    <r>
      <rPr>
        <sz val="11"/>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</si>
  <si>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rPr>
      <t>местного бюджета,</t>
    </r>
    <r>
      <rPr>
        <sz val="11"/>
        <rFont val="Times New Roman"/>
        <family val="1"/>
      </rPr>
      <t xml:space="preserve"> в целях софинансирования которых из бюджета Приморского края предоставляются субсидии</t>
    </r>
  </si>
  <si>
    <t>Общий объем на 2022 г</t>
  </si>
  <si>
    <t>2 02 15001 05 0000 150</t>
  </si>
  <si>
    <t>Прочие межбюджетные трансферты общего характера (дотация на сбалансированность)</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</si>
  <si>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</si>
  <si>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</si>
  <si>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</si>
  <si>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</si>
  <si>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</si>
  <si>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</si>
  <si>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</si>
  <si>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</si>
  <si>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Субсидии бюджетам муниципальных образований на  капитальный ремонт оздоровительных лагерей, находящихся в собственности муниципальных образований (краевой бюджет)</t>
  </si>
  <si>
    <t>Расходы на  капитальный ремонт оздоровительных лагерей, находящихся в собственности муниципальных образований за счет средств местного бюджета, в целях софинансирования которых из бюджета Приморского края предоставляются субсидии</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</si>
  <si>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</si>
  <si>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</si>
  <si>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</si>
  <si>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</si>
  <si>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</si>
  <si>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</si>
  <si>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</si>
  <si>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</si>
  <si>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</si>
  <si>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</si>
  <si>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</si>
  <si>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</si>
  <si>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</si>
  <si>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</si>
  <si>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011Е593140</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</si>
  <si>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</si>
  <si>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</si>
  <si>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</si>
  <si>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</si>
  <si>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</si>
  <si>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</si>
  <si>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</si>
  <si>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</si>
  <si>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</si>
  <si>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</si>
  <si>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Мероприятия по предупреждению терроризма (администрация)</t>
  </si>
  <si>
    <t>Молодежная политика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</si>
  <si>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</si>
  <si>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</si>
  <si>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2 02 35260 05 0000 150</t>
  </si>
  <si>
    <t>Выплата единовременного пособия при всех формах устройства детей, лишенных родительского попечения, в семью</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</si>
  <si>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</si>
  <si>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Меры по организации и обеспечению оздоровления и отдыха детей ( за исключением организации и обеспечение оздоровления и отдыха детей в каникулярное время)</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</si>
  <si>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</si>
  <si>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</si>
  <si>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</si>
  <si>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</si>
  <si>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</si>
  <si>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</si>
  <si>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</si>
  <si>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</si>
  <si>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</si>
  <si>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 xml:space="preserve">Мероприятия по развитию спортивной инфрастурктуры  (местный бюджет) </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</si>
  <si>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</si>
  <si>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</si>
  <si>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</si>
  <si>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</si>
  <si>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</si>
  <si>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</si>
  <si>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</si>
  <si>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</si>
  <si>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0640192480</t>
  </si>
  <si>
    <t>Реализация государственных полномочий по организации мероприятий при осуществлении деятельности по обращению с животными без владельцев</t>
  </si>
  <si>
    <t>1200012264</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</si>
  <si>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</si>
  <si>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</si>
  <si>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</si>
  <si>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0110Б92040</t>
  </si>
  <si>
    <t>0140Б92030</t>
  </si>
  <si>
    <t>1400Б92620</t>
  </si>
  <si>
    <t>1000Б92390</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</si>
  <si>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</si>
  <si>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</si>
  <si>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</si>
  <si>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</si>
  <si>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999W994020</t>
  </si>
  <si>
    <t>999W910170</t>
  </si>
  <si>
    <t>Мероприятия, направленные на предупреждение распространения новой коронавирусной инфекции</t>
  </si>
  <si>
    <t>9990010141</t>
  </si>
  <si>
    <t>0400040470</t>
  </si>
  <si>
    <t>0400040461</t>
  </si>
  <si>
    <t>0400040462</t>
  </si>
  <si>
    <t>0400040463</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</si>
  <si>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</si>
  <si>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</si>
  <si>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</si>
  <si>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</si>
  <si>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</si>
  <si>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</si>
  <si>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</si>
  <si>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</si>
  <si>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</si>
  <si>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</si>
  <si>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</si>
  <si>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Субсидии бюджетам муниципальных образований Приморского края на организацию физкультурно-спортивной работы по месту жительства </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</si>
  <si>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</si>
  <si>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</si>
  <si>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</si>
  <si>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</si>
  <si>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</si>
  <si>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Мероприятия, направленные на ликвидацию чрезвычайной ситуации в связи с появлением очагов африканской чумы свиней на территории Кировского муниципального района</t>
  </si>
  <si>
    <t>9990010142</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</si>
  <si>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</si>
  <si>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</si>
  <si>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</si>
  <si>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0110053030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</si>
  <si>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</si>
  <si>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Сумма на 2022 г.</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</si>
  <si>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</si>
  <si>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</si>
  <si>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</si>
  <si>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</si>
  <si>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</si>
  <si>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</si>
  <si>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15030М0820</t>
  </si>
  <si>
    <t>Мероприятия по переподготовке и повышению кадров</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</si>
  <si>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</si>
  <si>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0110Б92340</t>
  </si>
  <si>
    <t>06100Б0000</t>
  </si>
  <si>
    <t>963</t>
  </si>
  <si>
    <t>1004</t>
  </si>
  <si>
    <t>1008</t>
  </si>
  <si>
    <t>1015</t>
  </si>
  <si>
    <t>Распределение бюджетных ассигнований из районного бюджета на 2022 год по муниципальным программам Кировского  муниципального района и непрограммным направлениям деятельности</t>
  </si>
  <si>
    <t>Муниципальная программа «Комплексное развитие сельских территорий в Кировском муниципальном районе на 2021-2027 годы»</t>
  </si>
  <si>
    <t>Муниципальная программа "Противодействия коррупции в администрации Кировского муниципального района на 2021-2022 годы"</t>
  </si>
  <si>
    <t xml:space="preserve">Муниципальная программа «Комплексное развитие сельских территорий" в Кировском муниципальном районе на 2021-2027 годы </t>
  </si>
  <si>
    <t xml:space="preserve">бюджетных ассигнований из районного бюджета на 2022 год в ведомственной структуре расходов районного бюджета </t>
  </si>
  <si>
    <t>Сумма на 2023 год</t>
  </si>
  <si>
    <t xml:space="preserve">бюджетных ассигнований из районного бюджета на 2022  год  по разделам, </t>
  </si>
  <si>
    <t xml:space="preserve">Муниципальная программа "Комплексное развитие сельских территорий" в Кировском муниципальном районе на 2021-2027 годы </t>
  </si>
  <si>
    <t>Общий объем на 2023 г</t>
  </si>
  <si>
    <t>Единая субвенция местным бюджетам из краевого бюджета</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</si>
  <si>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</si>
  <si>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</si>
  <si>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</si>
  <si>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</si>
  <si>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</si>
  <si>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Непрограммные направления деятельности органов местного самоуправления (общее  образование)</t>
  </si>
  <si>
    <t>Выполнение наказов избирателей(дошкольное образование)</t>
  </si>
  <si>
    <t>0110030041</t>
  </si>
  <si>
    <t>Мероприятия по развитию и поддержке образовательных учреждений (наказы избирателей)</t>
  </si>
  <si>
    <t>0120030041</t>
  </si>
  <si>
    <t>0140030041</t>
  </si>
  <si>
    <t>Субсидии бюджетным учреждениям (НАКАЗЫ ИЗБИРАТЕЛЕЙ)</t>
  </si>
  <si>
    <t>Мероприятия по развитию и поддержке образовательных учреждений (НАКАЗЫ ИЗБИРАТЕЛЕЙ)</t>
  </si>
  <si>
    <t>Мероприятия по развитию и поддержке дошкольных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</si>
  <si>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</si>
  <si>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2 02 36900 05 0000 150</t>
  </si>
  <si>
    <t>Единая субвенция бюджетам муниципальных районов из бюджета субъекта Российской Федерации</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</si>
  <si>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</si>
  <si>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</si>
  <si>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</si>
  <si>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</si>
  <si>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</si>
  <si>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</si>
  <si>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</si>
  <si>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</si>
  <si>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</si>
  <si>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</si>
  <si>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</si>
  <si>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0160020041</t>
  </si>
  <si>
    <t>Организация и обеспечение оздоровления и летнего отдыха детей Кировского муниципального района за счет средств местного бюджета</t>
  </si>
  <si>
    <t>Субсидии бюджетным учреждениям (МБОУ ДО "ДЮСШ "Патриот" п. Кировский)</t>
  </si>
  <si>
    <t>0140020046</t>
  </si>
  <si>
    <t>0140020047</t>
  </si>
  <si>
    <t>0140020048</t>
  </si>
  <si>
    <t>0140020049</t>
  </si>
  <si>
    <t>0140020050</t>
  </si>
  <si>
    <t>0140020051</t>
  </si>
  <si>
    <t>0140020052</t>
  </si>
  <si>
    <t>0140020053</t>
  </si>
  <si>
    <t>004</t>
  </si>
  <si>
    <t>005</t>
  </si>
  <si>
    <t>007</t>
  </si>
  <si>
    <t>008</t>
  </si>
  <si>
    <t>009</t>
  </si>
  <si>
    <t>010</t>
  </si>
  <si>
    <t>Субсидии бюджетным учреждениям на создание Муниципального опорного центра дополнительного образования детей Кировского муниципального района (МБОУ ДО "ДЮСШ "Патриот" п. Кировский)</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</si>
  <si>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</si>
  <si>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</si>
  <si>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</si>
  <si>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</si>
  <si>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</si>
  <si>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</si>
  <si>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</si>
  <si>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</si>
  <si>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</si>
  <si>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</si>
  <si>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</si>
  <si>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</si>
  <si>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</si>
  <si>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</si>
  <si>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9990093190</t>
  </si>
  <si>
    <t>0300030364</t>
  </si>
  <si>
    <t>Субсидии бюджетным учреждениям  (МБОУ ДОД ДЮЦ)</t>
  </si>
  <si>
    <t>Субсидии бюджетным учреждениям (МБОУ ДО "ДЮСШ "Патриот" п. Кировский, МБОУ ДОД ДЮЦ)</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</si>
  <si>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2022 – 2024 годы</t>
  </si>
  <si>
    <t>Содействие в подготовке проведения выборов</t>
  </si>
  <si>
    <t>9990010190</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</si>
  <si>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</si>
  <si>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Возмещение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</si>
  <si>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Расходы на капитальный ремонт зданий муниципальных общеобразовательных учреждений (краевой бюджет)</t>
  </si>
  <si>
    <t>0110092340</t>
  </si>
  <si>
    <t>040P552280</t>
  </si>
  <si>
    <t>040P592230</t>
  </si>
  <si>
    <t>040P592231</t>
  </si>
  <si>
    <t>15030R0820</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</si>
  <si>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</si>
  <si>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 Укрепление общественного здоровья" на 2021-2024 годы</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</si>
  <si>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</si>
  <si>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Муниципальная программа "Совершенствование межбюджетных отношений и управление муниципальным долгом в Кировском муниципальном районе на 2022-2024 годы"</t>
  </si>
  <si>
    <t xml:space="preserve">Иные межбюджетные трансферты 
на обеспечение сбалансированности бюджетов городских и сельских поселений Кировского муниципального района из районного бюджета в 2022-2024гг </t>
  </si>
  <si>
    <t>Сумма на 2024 год</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</si>
  <si>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</si>
  <si>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Мероприятия по обеспечению развития и укрепления материально-технической базы муниципальных домов культуры</t>
  </si>
  <si>
    <t>06100S2471</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</si>
  <si>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краевого бюджета</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</si>
  <si>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федерального бюджета</t>
  </si>
  <si>
    <t>Мероприятия по капитальный ремонт зданий муниципальных общеобразовательных учреждений</t>
  </si>
  <si>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(краевой бюджет) </t>
  </si>
  <si>
    <t>Финансовое обеспечение на выполнение муниципального задания школ искусств Кировского муниципального района</t>
  </si>
  <si>
    <t>0650020140</t>
  </si>
  <si>
    <t>0660020140</t>
  </si>
  <si>
    <t>0640020000</t>
  </si>
  <si>
    <t>Мероприятия по предупреждению терроризма. (МБУ "КДЦ")</t>
  </si>
  <si>
    <t>1600014410</t>
  </si>
  <si>
    <t>1600000000</t>
  </si>
  <si>
    <t>Другие вопросы в области здравоохранения</t>
  </si>
  <si>
    <t>1600014411</t>
  </si>
  <si>
    <t xml:space="preserve">Объемы доходов районного бюджета на 2022 год 
</t>
  </si>
  <si>
    <t>Сумма на 
2022 год</t>
  </si>
  <si>
    <t>Разница 2021 год</t>
  </si>
  <si>
    <t>105 01000 01 0000 110</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</si>
  <si>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сельских  поселений а так же средства от продажи права на заключение договоров аренды указанных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</si>
  <si>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городских поселений а так же средства от продажи права на заключение договоров аренды указанных участков</t>
  </si>
  <si>
    <t>2 02 20000 00 0000 150</t>
  </si>
  <si>
    <t>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t>
  </si>
  <si>
    <t>Субсидии из краевого бюджета бюджетам муниципальных образований Приморского края на оснащение спортивной инфраструктуры спортивно-технологическим оборудованием</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</si>
  <si>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</si>
  <si>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</si>
  <si>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Приморского края на составление (изменение) списков кандидатов в присяжные заседатели</t>
  </si>
  <si>
    <t>Субвенции бюджетам муниципальных районов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</si>
  <si>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муниципальных районов Приморского края  на организацию и обеспечение оздоровления и отдыха детей ( за исключением организации и обеспечение оздоровления и отдыха детей в каникулярное время)</t>
  </si>
  <si>
    <t xml:space="preserve">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t>
  </si>
  <si>
    <t>Субвенции                                                                                                              бюджетам муниципальных районов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</si>
  <si>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входящих в их состав </t>
  </si>
  <si>
    <t>Субвенции на регистрацию и учет граждан, имеющих право на получение жилищных субсидий в связи с переселением из районов крайнего Севера и приравненных к ним местностям</t>
  </si>
  <si>
    <t>Субвенции бюджетам муниципальных районов на реализацию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</si>
  <si>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r>
      <t xml:space="preserve">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t>
    </r>
    <r>
      <rPr>
        <b/>
        <u val="single"/>
        <sz val="12"/>
        <rFont val="Times New Roman"/>
        <family val="1"/>
      </rPr>
      <t>за счет средств краевого бюджета</t>
    </r>
  </si>
  <si>
    <t xml:space="preserve">Источники внутреннего финансирования дефицита районного бюджета на 2022 год </t>
  </si>
  <si>
    <t xml:space="preserve"> бюджетных ассигнований на исполнение публичных нормативных обязательств на 2022-2024  годы  по разделам</t>
  </si>
  <si>
    <t>Общий объем на 2024 г</t>
  </si>
  <si>
    <t>ЗДРАВООХРАНЕНИЕ</t>
  </si>
  <si>
    <t>99900R0820</t>
  </si>
  <si>
    <t xml:space="preserve">Руководство и управление в сфере установленных функций органов местного самоуправления </t>
  </si>
  <si>
    <t>Сумма 
на 2022 год</t>
  </si>
  <si>
    <t>Финансовое обеспечение на выполнение муниципального задания "МБУ ДО КДШИ"</t>
  </si>
  <si>
    <t>Финансовое обеспечение на выполнение муниципального задания МБУ ДО КДШИ</t>
  </si>
  <si>
    <t>Финансовое обеспечение на выполнение муниципального задания "МБУ ДО ГДШИ"</t>
  </si>
  <si>
    <t xml:space="preserve">Меры социальной поддержки педагогическим работникам муниципальных образовательных организаций Кировского муниципального района </t>
  </si>
  <si>
    <t xml:space="preserve">Меры социальной поддержки детей, оставшихся без попечения родителей, и лиц, принявших на воспитание в семью детей, оставшихся без попечения родителей </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</si>
  <si>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</si>
  <si>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 xml:space="preserve">Мероприятия по приобретению и поставке спортивного инвентаря, спортивного оборудования и иного имущества для развития массового спорта </t>
  </si>
  <si>
    <t>Расходы на приобретение и поставку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</si>
  <si>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(краевой бюджет)</t>
  </si>
  <si>
    <t>Приложение № 4</t>
  </si>
  <si>
    <t xml:space="preserve">                                                                                             Приложение  № 5</t>
  </si>
  <si>
    <t>Мероприятия по развитию и поддержке внешкольного образования (наказы избирателей)</t>
  </si>
  <si>
    <t>041P592230</t>
  </si>
  <si>
    <t>Мероприятия по приобретению ледозаливочной техники</t>
  </si>
  <si>
    <t>Мероприятия по оснащению объектов спортивной инфраструктуры спортивно-технологическим оборудованием</t>
  </si>
  <si>
    <t xml:space="preserve">Мероприятия по оснащению объектов спортивной инфраструктуры спортивно-технологическим оборудованием (краевой бюджет) </t>
  </si>
  <si>
    <t xml:space="preserve">Мероприятия по оснащению объектов спортивной инфраструктуры спортивно-технологическим оборудованием (местный  бюджет) </t>
  </si>
  <si>
    <t>Субсидии бюджетам муниципальных образований Приморского края на приобретение едозаливочной техники  (краевой бюджет)</t>
  </si>
  <si>
    <t>Расходы на приобретение ледозаливочной техники за счет средств местного бюджета, в целях софинансирования которых из бюджета Приморского края предоставляются субсидии</t>
  </si>
  <si>
    <t>041Р500000</t>
  </si>
  <si>
    <t>Субсидии бюджетным учреждениям (МБОУ ДО "ДЮЦ")</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</si>
  <si>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</si>
  <si>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</si>
  <si>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"Укрепление общественного здоровья" на 2021-2024 годы</t>
  </si>
  <si>
    <t>Мероприятия по предупреждению терроризма (МБУ "КДЦ")</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</si>
  <si>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2"/>
        <rFont val="Times New Roman"/>
        <family val="1"/>
      </rPr>
      <t>(краевой бюджет)</t>
    </r>
  </si>
  <si>
    <r>
      <t xml:space="preserve">Расходы по приобретению и поставке спортивного инвентаря, спортивного оборудования и иного имущества для развития массового спорта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</si>
  <si>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041P592680</t>
  </si>
  <si>
    <t>Субсидии бюджетам муниципальных образований Приморского края на приобретение ледозаливочной техники</t>
  </si>
  <si>
    <t>040P592680</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</si>
  <si>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1"/>
        <rFont val="Times New Roman"/>
        <family val="1"/>
      </rPr>
      <t>(краевой бюджет)</t>
    </r>
  </si>
  <si>
    <r>
      <t xml:space="preserve">Мероприятия по оснащению объектов спортивной инфраструктуры спортивно-технологическим оборудованием </t>
    </r>
    <r>
      <rPr>
        <b/>
        <i/>
        <sz val="11"/>
        <rFont val="Times New Roman"/>
        <family val="1"/>
      </rPr>
      <t xml:space="preserve">(местный  бюджет) </t>
    </r>
  </si>
  <si>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для развития массового спорта (краевой бюджет) </t>
  </si>
  <si>
    <t>Расходы по приобретению и поставке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</si>
  <si>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r>
      <t xml:space="preserve">Мероприятия по развитию и поддержке внешкольного образования </t>
    </r>
    <r>
      <rPr>
        <b/>
        <i/>
        <sz val="11"/>
        <rFont val="Times New Roman"/>
        <family val="1"/>
      </rPr>
      <t>(наказы избирателей)</t>
    </r>
  </si>
  <si>
    <t>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«Твой проект»</t>
  </si>
  <si>
    <t>Расходы на реализацию проектов инициативного бюджетирования по направлению «Твой проект», в целях софинансирования которых из бюджета Приморского края предоставляются субсидии</t>
  </si>
  <si>
    <t>0610092360</t>
  </si>
  <si>
    <t>Реализация проектов инициативного бюджетирования по направлению «Твой проект»</t>
  </si>
  <si>
    <t>2 02 25228 05 0000 150</t>
  </si>
  <si>
    <t xml:space="preserve">Кировское городское поселение </t>
  </si>
  <si>
    <t xml:space="preserve">Горноключевское городское поселение </t>
  </si>
  <si>
    <t xml:space="preserve">Иные межбюджетные трансферты, передаваемые из бюджета Кировского муниципального района Приморского края бюджетам городских поселений на ремонт автомобильных дорог общего пользования местного значения в границах населенных пунктов в 2022 году </t>
  </si>
  <si>
    <t>2 02 35082 05 0000 150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</si>
  <si>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</si>
  <si>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 xml:space="preserve">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 </t>
  </si>
  <si>
    <t>Проведение неотложных мероприятий в целях предотвращения чрезвычайной ситуации за счет средств резервного фонда администрации Кировского муниципального района</t>
  </si>
  <si>
    <t>9990010145</t>
  </si>
  <si>
    <t>01100R3040</t>
  </si>
  <si>
    <t>Государственная поддержка отрасли культуры (поддержка муниципальных учреждений культуры, находящихся на территории сельских поселений)</t>
  </si>
  <si>
    <t>Расходы на реализацию государственной поддержки отрасли культуры (поддержка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</si>
  <si>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00000000000</t>
  </si>
  <si>
    <t>Обеспечение персонифицированного финансирования дополнительного образования детей (МБОУ ДО "ДЮЦ")</t>
  </si>
  <si>
    <t>Обеспечение персонифицированного финансирования дополнительного образования детей (МБОУ ДО "ДЮСШ "Патриот" п. Кировский)</t>
  </si>
  <si>
    <t>2 02 25519 05 0000 150</t>
  </si>
  <si>
    <t>Субсидии бюджетам муниципальных районов на поддержку отрасли культуры (государственная поддержка отрасли культуры (поддержка муниципальных учреждений культуры, находящихся на территории сельских поселений))</t>
  </si>
  <si>
    <t>0140040043</t>
  </si>
  <si>
    <t>061A255195</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</si>
  <si>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(школы)</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</si>
  <si>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val="single"/>
        <sz val="11"/>
        <rFont val="Times New Roman"/>
        <family val="1"/>
      </rPr>
      <t>местного бюджета</t>
    </r>
    <r>
      <rPr>
        <sz val="11"/>
        <rFont val="Times New Roman"/>
        <family val="1"/>
      </rPr>
      <t xml:space="preserve"> (школы)</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</si>
  <si>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val="single"/>
        <sz val="11"/>
        <rFont val="Times New Roman"/>
        <family val="1"/>
      </rPr>
      <t>краевого бюджета</t>
    </r>
    <r>
      <rPr>
        <sz val="11"/>
        <rFont val="Times New Roman"/>
        <family val="1"/>
      </rPr>
      <t xml:space="preserve"> (школы)</t>
    </r>
  </si>
  <si>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</si>
  <si>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val="single"/>
        <sz val="11"/>
        <rFont val="Times New Roman"/>
        <family val="1"/>
      </rPr>
      <t xml:space="preserve">местного бюджета </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</si>
  <si>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val="single"/>
        <sz val="11"/>
        <rFont val="Times New Roman"/>
        <family val="1"/>
      </rPr>
      <t xml:space="preserve">краевого бюджета </t>
    </r>
  </si>
  <si>
    <t xml:space="preserve">                               Приложение № 6</t>
  </si>
  <si>
    <t>Гранты в виде субсидий  на обеспечение персонифицированного финансирования дополнительного образования детей</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</si>
  <si>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</si>
  <si>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</si>
  <si>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1 11 05410 05 0000 120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</si>
  <si>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</si>
  <si>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Прочие организационные и представительские расходы администрации Кировского муниципального района</t>
  </si>
  <si>
    <t>9990010200</t>
  </si>
  <si>
    <t>9990010146</t>
  </si>
  <si>
    <t>Расходы, связанные с участием Кировского муниципального района в мероприятиях общегосударственного значения за счет средств резервного фонда администрации Кировского муниципального района</t>
  </si>
  <si>
    <t>Подпрограмма № 8 «Молодежь Кировского района»</t>
  </si>
  <si>
    <t>(первоочередные расходы)</t>
  </si>
  <si>
    <t xml:space="preserve">(проведение выборов)   </t>
  </si>
  <si>
    <t>Общая сумма на 2022 год</t>
  </si>
  <si>
    <t>06100S2360</t>
  </si>
  <si>
    <r>
      <t xml:space="preserve">Субсидии бюджетным учреждениям (КДЦ) </t>
    </r>
    <r>
      <rPr>
        <b/>
        <u val="single"/>
        <sz val="11"/>
        <rFont val="Times New Roman"/>
        <family val="1"/>
      </rPr>
      <t>(местный бюджет)</t>
    </r>
  </si>
  <si>
    <r>
      <t xml:space="preserve">Субсидии бюджетным учреждениям (КДЦ) </t>
    </r>
    <r>
      <rPr>
        <b/>
        <u val="single"/>
        <sz val="11"/>
        <rFont val="Times New Roman"/>
        <family val="1"/>
      </rPr>
      <t>(краевой бюджет)</t>
    </r>
  </si>
  <si>
    <t>Субсидии бюджетным учреждениям (библиотеки)</t>
  </si>
  <si>
    <r>
      <t xml:space="preserve">Субсидии бюджетным учреждениям (библиотеки) </t>
    </r>
    <r>
      <rPr>
        <b/>
        <u val="single"/>
        <sz val="11"/>
        <rFont val="Times New Roman"/>
        <family val="1"/>
      </rPr>
      <t>(местный бюджет)</t>
    </r>
  </si>
  <si>
    <r>
      <t xml:space="preserve">Субсидии бюджетным учреждениям (библиотеки) </t>
    </r>
    <r>
      <rPr>
        <b/>
        <u val="single"/>
        <sz val="11"/>
        <rFont val="Times New Roman"/>
        <family val="1"/>
      </rPr>
      <t>(краевой бюджет)</t>
    </r>
  </si>
  <si>
    <t>Субсидии бюджетным учреждениям (музеи)</t>
  </si>
  <si>
    <r>
      <t xml:space="preserve">Субсидии бюджетным учреждениям (музеи) </t>
    </r>
    <r>
      <rPr>
        <b/>
        <u val="single"/>
        <sz val="11"/>
        <rFont val="Times New Roman"/>
        <family val="1"/>
      </rPr>
      <t>(местный бюджет)</t>
    </r>
  </si>
  <si>
    <r>
      <t xml:space="preserve">Субсидии бюджетным учреждениям (музеи) </t>
    </r>
    <r>
      <rPr>
        <b/>
        <u val="single"/>
        <sz val="11"/>
        <rFont val="Times New Roman"/>
        <family val="1"/>
      </rPr>
      <t>(краевой бюджет)</t>
    </r>
  </si>
  <si>
    <r>
      <t xml:space="preserve">Финансовое обеспечение (бухгалтерский учет) МБУ КДЦ Кировского муниципального района. Субсидии бюджетным учреждениям </t>
    </r>
    <r>
      <rPr>
        <b/>
        <u val="single"/>
        <sz val="11"/>
        <rFont val="Times New Roman"/>
        <family val="1"/>
      </rPr>
      <t>(местный бюджет)</t>
    </r>
  </si>
  <si>
    <r>
      <t xml:space="preserve">Финансовое обеспечение (бухгалтерский учет) МБУ КДЦ Кировского муниципального района. Субсидии бюджетным учреждениям </t>
    </r>
    <r>
      <rPr>
        <b/>
        <u val="single"/>
        <sz val="11"/>
        <rFont val="Times New Roman"/>
        <family val="1"/>
      </rPr>
      <t>(краевой бюджет)</t>
    </r>
  </si>
  <si>
    <t>0650000000</t>
  </si>
  <si>
    <r>
      <t xml:space="preserve">Субсидии бюджетным учреждениям (МБУ ДО "ДЮЦ") </t>
    </r>
    <r>
      <rPr>
        <b/>
        <u val="single"/>
        <sz val="11"/>
        <rFont val="Times New Roman"/>
        <family val="1"/>
      </rPr>
      <t>(местный бюджет)</t>
    </r>
  </si>
  <si>
    <r>
      <t xml:space="preserve">Субсидии бюджетным учреждениям (МБУ ДО "ДЮЦ") </t>
    </r>
    <r>
      <rPr>
        <b/>
        <u val="single"/>
        <sz val="11"/>
        <rFont val="Times New Roman"/>
        <family val="1"/>
      </rPr>
      <t>(краевой бюджет)</t>
    </r>
  </si>
  <si>
    <r>
      <t xml:space="preserve">Субсидии бюджетным учреждениям (МБОУ ДО "ДЮСШ "Патриот" п. Кировский) </t>
    </r>
    <r>
      <rPr>
        <b/>
        <u val="single"/>
        <sz val="11"/>
        <rFont val="Times New Roman"/>
        <family val="1"/>
      </rPr>
      <t>(местный бюджет)</t>
    </r>
  </si>
  <si>
    <r>
      <t xml:space="preserve">Субсидии бюджетным учреждениям (МБОУ ДО "ДЮСШ "Патриот" п. Кировский) </t>
    </r>
    <r>
      <rPr>
        <b/>
        <u val="single"/>
        <sz val="11"/>
        <rFont val="Times New Roman"/>
        <family val="1"/>
      </rPr>
      <t>(краевой бюджет)</t>
    </r>
  </si>
  <si>
    <t>1200091030</t>
  </si>
  <si>
    <t>Иные межбюджетные трансферты общего характера (в целях компенсации дополнительных расходов местных бюджетов в связи с увеличением прогнозных значений среднемесячного дохода от трудовой деятельности работников муниципальных учреждений культуры в Приморском крае)</t>
  </si>
  <si>
    <t>Иные межбюджетные трансферты общего характера (в целях компенсации дополнительных расходов бюджетов городских и сельских поселений в связи с увеличением прогнозных значений среднемесячного дохода от трудовой деятельности работников муниципальных учреждений культуры в Приморском крае)</t>
  </si>
  <si>
    <t>Расходы на оказание единовременной материальной помощи гражданам за счет средств резервного фонда администрации Кировского муниципального района</t>
  </si>
  <si>
    <t>9990010144</t>
  </si>
  <si>
    <t>Приложение  № 7</t>
  </si>
  <si>
    <t>Иные закупки товаров, работ и услуг для обеспечения государственных (муниципальных) нужд (изготовление бланков по пассажирским перевозкам)</t>
  </si>
  <si>
    <t xml:space="preserve">Муниципальная программа "Поддержка социально ориентированных некоммерческих организаций Кировского муниципального района на 2022-2024 годы" </t>
  </si>
  <si>
    <t>Мероприятия по укреплению общественного здоровья</t>
  </si>
  <si>
    <t>Мероприятия по поддержке социально ориентированных некоммерческих организаций района</t>
  </si>
  <si>
    <t>1700000000</t>
  </si>
  <si>
    <t>1700017160</t>
  </si>
  <si>
    <t>Иные межбюджетные трансферты (сельским поселениям)</t>
  </si>
  <si>
    <r>
      <t xml:space="preserve">Субсидии бюджетным учреждениям (МБУ ДО «ГДШИ») </t>
    </r>
    <r>
      <rPr>
        <b/>
        <u val="single"/>
        <sz val="11"/>
        <rFont val="Times New Roman"/>
        <family val="1"/>
      </rPr>
      <t xml:space="preserve"> (местный бюджет)</t>
    </r>
  </si>
  <si>
    <r>
      <t xml:space="preserve">Субсидии бюджетным учреждениям (МБУ ДО «ГДШИ») </t>
    </r>
    <r>
      <rPr>
        <b/>
        <u val="single"/>
        <sz val="11"/>
        <rFont val="Times New Roman"/>
        <family val="1"/>
      </rPr>
      <t xml:space="preserve"> (краевой бюджет)</t>
    </r>
  </si>
  <si>
    <r>
      <t xml:space="preserve">Субсидии бюджетным учреждениям (МБУ ДО «КДШИ») </t>
    </r>
    <r>
      <rPr>
        <b/>
        <u val="single"/>
        <sz val="11"/>
        <rFont val="Times New Roman"/>
        <family val="1"/>
      </rPr>
      <t>(местный бюджет)</t>
    </r>
  </si>
  <si>
    <r>
      <t xml:space="preserve">Субсидии бюджетным учреждениям (МБУ ДО «КДШИ») </t>
    </r>
    <r>
      <rPr>
        <b/>
        <u val="single"/>
        <sz val="11"/>
        <rFont val="Times New Roman"/>
        <family val="1"/>
      </rPr>
      <t>(краевой бюджет)</t>
    </r>
  </si>
  <si>
    <t>2 02 19999 05 0000 150</t>
  </si>
  <si>
    <t>Прочие дотации бюджетам муниципальных районов</t>
  </si>
  <si>
    <t xml:space="preserve">от 21.12.2022 г. № 97-НПА </t>
  </si>
  <si>
    <t>от 21.12.2022 г. № 97-НПА</t>
  </si>
  <si>
    <t xml:space="preserve">                               Приложение № 8</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</si>
</sst>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s>
  <fonts count="82">
    <font>
      <sz val="10"/>
      <name val="Arial Cyr"/>
      <family val="0"/>
    </font>
    <font>
      <sz val="8"/>
      <name val="Arial Cyr"/>
      <family val="0"/>
    </font>
    <font>
      <sz val="10"/>
      <name val="Times New Roman"/>
      <family val="1"/>
    </font>
    <font>
      <sz val="12"/>
      <name val="Times New Roman"/>
      <family val="1"/>
    </font>
    <font>
      <b/>
      <sz val="12"/>
      <name val="Times New Roman"/>
      <family val="1"/>
    </font>
    <font>
      <sz val="12"/>
      <name val="Times New Roman CE"/>
      <family val="1"/>
    </font>
    <font>
      <b/>
      <sz val="14"/>
      <name val="Times New Roman"/>
      <family val="1"/>
    </font>
    <font>
      <sz val="12"/>
      <name val="Arial Cyr"/>
      <family val="0"/>
    </font>
    <font>
      <b/>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Arial Cyr"/>
      <family val="0"/>
    </font>
    <font>
      <b/>
      <sz val="13"/>
      <name val="Times New Roman"/>
      <family val="1"/>
    </font>
    <font>
      <sz val="13"/>
      <name val="Times New Roman"/>
      <family val="1"/>
    </font>
    <font>
      <b/>
      <sz val="11"/>
      <name val="Arial Cyr"/>
      <family val="0"/>
    </font>
    <font>
      <b/>
      <sz val="10"/>
      <name val="Times New Roman"/>
      <family val="1"/>
    </font>
    <font>
      <sz val="9"/>
      <name val="Times New Roman"/>
      <family val="1"/>
    </font>
    <font>
      <sz val="12"/>
      <color indexed="8"/>
      <name val="Times New Roman"/>
      <family val="1"/>
    </font>
    <font>
      <b/>
      <sz val="12"/>
      <color indexed="8"/>
      <name val="Times New Roman"/>
      <family val="1"/>
    </font>
    <font>
      <sz val="14"/>
      <name val="Times New Roman"/>
      <family val="1"/>
    </font>
    <font>
      <sz val="9"/>
      <name val="Arial Cyr"/>
      <family val="0"/>
    </font>
    <font>
      <sz val="11"/>
      <name val="Arial Cyr"/>
      <family val="0"/>
    </font>
    <font>
      <i/>
      <sz val="12"/>
      <name val="Times New Roman"/>
      <family val="1"/>
    </font>
    <font>
      <i/>
      <sz val="10"/>
      <name val="Arial Cyr"/>
      <family val="0"/>
    </font>
    <font>
      <sz val="11"/>
      <name val="Times New Roman CE"/>
      <family val="1"/>
    </font>
    <font>
      <i/>
      <sz val="11"/>
      <name val="Times New Roman"/>
      <family val="1"/>
    </font>
    <font>
      <b/>
      <i/>
      <sz val="12"/>
      <name val="Times New Roman"/>
      <family val="1"/>
    </font>
    <font>
      <u val="single"/>
      <sz val="12"/>
      <name val="Times New Roman"/>
      <family val="1"/>
    </font>
    <font>
      <b/>
      <i/>
      <sz val="11"/>
      <name val="Times New Roman"/>
      <family val="1"/>
    </font>
    <font>
      <u val="single"/>
      <sz val="11"/>
      <name val="Times New Roman"/>
      <family val="1"/>
    </font>
    <font>
      <i/>
      <sz val="11"/>
      <name val="Arial Cyr"/>
      <family val="0"/>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b/>
      <u val="single"/>
      <sz val="12"/>
      <name val="Times New Roman"/>
      <family val="1"/>
    </font>
    <font>
      <sz val="14"/>
      <name val="Arial Cyr"/>
      <family val="0"/>
    </font>
    <font>
      <i/>
      <sz val="11"/>
      <color indexed="8"/>
      <name val="Times New Roman"/>
      <family val="1"/>
    </font>
    <font>
      <sz val="11"/>
      <color indexed="8"/>
      <name val="Times New Roman"/>
      <family val="1"/>
    </font>
    <font>
      <b/>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Cyr"/>
      <family val="0"/>
    </font>
    <font>
      <b/>
      <sz val="11"/>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Cyr"/>
      <family val="0"/>
    </font>
    <font>
      <b/>
      <sz val="11"/>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top/>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0" fillId="0" borderId="0">
      <alignment/>
      <protection/>
    </xf>
    <xf numFmtId="0" fontId="12"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9" fillId="32" borderId="0" applyNumberFormat="0" applyBorder="0" applyAlignment="0" applyProtection="0"/>
  </cellStyleXfs>
  <cellXfs count="355">
    <xf numFmtId="0" fontId="0" fillId="0" borderId="0" xfId="0" applyAlignment="1">
      <alignment/>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vertical="justify"/>
    </xf>
    <xf numFmtId="0" fontId="5" fillId="0" borderId="0" xfId="0" applyFont="1" applyFill="1" applyAlignment="1">
      <alignment/>
    </xf>
    <xf numFmtId="0" fontId="1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18"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25" fillId="0" borderId="0" xfId="0" applyFont="1" applyFill="1" applyAlignment="1">
      <alignment/>
    </xf>
    <xf numFmtId="49" fontId="4" fillId="0"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horizontal="center" vertical="center" wrapText="1"/>
    </xf>
    <xf numFmtId="0" fontId="8" fillId="0" borderId="0" xfId="0" applyFont="1" applyFill="1" applyAlignment="1">
      <alignment/>
    </xf>
    <xf numFmtId="0" fontId="3"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shrinkToFit="1"/>
    </xf>
    <xf numFmtId="0" fontId="23" fillId="0" borderId="0" xfId="0" applyFont="1" applyFill="1" applyAlignment="1">
      <alignment/>
    </xf>
    <xf numFmtId="0" fontId="26" fillId="0" borderId="0" xfId="0" applyFont="1" applyFill="1" applyAlignment="1">
      <alignment/>
    </xf>
    <xf numFmtId="0" fontId="3" fillId="0" borderId="10" xfId="0" applyFont="1" applyFill="1" applyBorder="1" applyAlignment="1">
      <alignment vertical="center" wrapText="1"/>
    </xf>
    <xf numFmtId="49" fontId="24" fillId="0" borderId="10" xfId="0" applyNumberFormat="1" applyFont="1" applyFill="1" applyBorder="1" applyAlignment="1">
      <alignment horizontal="center" vertical="center" wrapText="1" shrinkToFit="1"/>
    </xf>
    <xf numFmtId="0" fontId="3" fillId="0" borderId="0" xfId="0" applyFont="1" applyFill="1" applyAlignment="1">
      <alignment/>
    </xf>
    <xf numFmtId="0" fontId="3"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9" fillId="0" borderId="10" xfId="0" applyFont="1" applyFill="1" applyBorder="1" applyAlignment="1">
      <alignment vertical="center" wrapText="1"/>
    </xf>
    <xf numFmtId="0" fontId="0" fillId="0" borderId="0" xfId="0" applyFont="1" applyFill="1" applyAlignment="1">
      <alignment/>
    </xf>
    <xf numFmtId="49"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left" vertical="top" wrapText="1"/>
    </xf>
    <xf numFmtId="0" fontId="16" fillId="0" borderId="0" xfId="0" applyFont="1" applyFill="1" applyAlignment="1">
      <alignment/>
    </xf>
    <xf numFmtId="4" fontId="23" fillId="0" borderId="0" xfId="0" applyNumberFormat="1" applyFont="1" applyFill="1" applyAlignment="1">
      <alignment/>
    </xf>
    <xf numFmtId="0" fontId="10" fillId="0" borderId="0" xfId="0" applyFont="1" applyFill="1" applyAlignment="1">
      <alignment/>
    </xf>
    <xf numFmtId="0" fontId="28" fillId="0" borderId="10" xfId="0" applyFont="1" applyFill="1" applyBorder="1" applyAlignment="1">
      <alignment vertical="center" wrapText="1"/>
    </xf>
    <xf numFmtId="0" fontId="2" fillId="0" borderId="0" xfId="0" applyFont="1" applyFill="1" applyAlignment="1">
      <alignment horizontal="right"/>
    </xf>
    <xf numFmtId="0" fontId="10" fillId="0" borderId="10" xfId="0" applyFont="1" applyFill="1" applyBorder="1" applyAlignment="1">
      <alignment vertical="top" wrapText="1"/>
    </xf>
    <xf numFmtId="4" fontId="10" fillId="0" borderId="0" xfId="0" applyNumberFormat="1" applyFont="1" applyFill="1" applyAlignment="1">
      <alignment/>
    </xf>
    <xf numFmtId="0" fontId="24" fillId="0" borderId="10" xfId="0" applyFont="1" applyFill="1" applyBorder="1" applyAlignment="1">
      <alignment vertical="top" wrapText="1"/>
    </xf>
    <xf numFmtId="188" fontId="10" fillId="0" borderId="10" xfId="0" applyNumberFormat="1" applyFont="1" applyFill="1" applyBorder="1" applyAlignment="1">
      <alignment horizontal="center" vertical="center" wrapText="1"/>
    </xf>
    <xf numFmtId="188" fontId="10" fillId="0" borderId="0" xfId="0" applyNumberFormat="1" applyFont="1" applyFill="1" applyAlignment="1">
      <alignment/>
    </xf>
    <xf numFmtId="188" fontId="23" fillId="0" borderId="0" xfId="0" applyNumberFormat="1" applyFont="1" applyFill="1" applyAlignment="1">
      <alignment/>
    </xf>
    <xf numFmtId="0" fontId="10"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27" fillId="0" borderId="10" xfId="0" applyFont="1" applyFill="1" applyBorder="1" applyAlignment="1">
      <alignment vertical="center" wrapText="1"/>
    </xf>
    <xf numFmtId="0" fontId="27" fillId="0" borderId="10" xfId="0" applyFont="1" applyFill="1" applyBorder="1" applyAlignment="1">
      <alignment vertical="top" wrapText="1"/>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49" fontId="27"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left" vertical="top" wrapText="1"/>
    </xf>
    <xf numFmtId="0" fontId="28" fillId="0" borderId="10" xfId="0" applyFont="1" applyFill="1" applyBorder="1" applyAlignment="1">
      <alignment vertical="top" wrapText="1"/>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190" fontId="3" fillId="0" borderId="10" xfId="0" applyNumberFormat="1" applyFont="1" applyFill="1" applyBorder="1" applyAlignment="1">
      <alignment horizontal="center" vertical="center" wrapText="1"/>
    </xf>
    <xf numFmtId="190" fontId="24" fillId="0" borderId="10" xfId="0" applyNumberFormat="1" applyFont="1" applyFill="1" applyBorder="1" applyAlignment="1">
      <alignment horizontal="center" vertical="center" wrapText="1"/>
    </xf>
    <xf numFmtId="0" fontId="23" fillId="0" borderId="0" xfId="0" applyFont="1" applyFill="1" applyAlignment="1">
      <alignment horizontal="left"/>
    </xf>
    <xf numFmtId="49" fontId="10" fillId="0" borderId="10" xfId="0" applyNumberFormat="1" applyFont="1" applyFill="1" applyBorder="1" applyAlignment="1">
      <alignment horizontal="center" vertical="center"/>
    </xf>
    <xf numFmtId="0" fontId="27" fillId="0" borderId="10" xfId="0" applyFont="1" applyFill="1" applyBorder="1" applyAlignment="1">
      <alignment horizontal="left" vertical="center" wrapText="1"/>
    </xf>
    <xf numFmtId="0" fontId="30" fillId="0" borderId="10" xfId="0" applyFont="1" applyFill="1" applyBorder="1" applyAlignment="1">
      <alignment vertical="top" wrapText="1"/>
    </xf>
    <xf numFmtId="49" fontId="30" fillId="0" borderId="10" xfId="0" applyNumberFormat="1" applyFont="1" applyFill="1" applyBorder="1" applyAlignment="1">
      <alignment horizontal="center" vertical="center" wrapText="1" shrinkToFit="1"/>
    </xf>
    <xf numFmtId="49"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shrinkToFit="1"/>
    </xf>
    <xf numFmtId="0" fontId="31" fillId="0" borderId="10" xfId="0" applyFont="1" applyFill="1" applyBorder="1" applyAlignment="1">
      <alignment vertical="center" wrapText="1"/>
    </xf>
    <xf numFmtId="0" fontId="9" fillId="0" borderId="10" xfId="0" applyFont="1" applyFill="1" applyBorder="1" applyAlignment="1">
      <alignment vertical="top" wrapText="1"/>
    </xf>
    <xf numFmtId="49" fontId="3" fillId="0" borderId="10" xfId="0" applyNumberFormat="1" applyFont="1" applyFill="1" applyBorder="1" applyAlignment="1">
      <alignment horizontal="center" vertical="center"/>
    </xf>
    <xf numFmtId="190" fontId="23" fillId="0" borderId="0" xfId="0" applyNumberFormat="1" applyFont="1" applyFill="1" applyAlignment="1">
      <alignment/>
    </xf>
    <xf numFmtId="190" fontId="10"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190" fontId="30" fillId="0" borderId="10" xfId="0" applyNumberFormat="1" applyFont="1" applyFill="1" applyBorder="1" applyAlignment="1">
      <alignment horizontal="center" vertical="center" wrapText="1"/>
    </xf>
    <xf numFmtId="0" fontId="9" fillId="0" borderId="0" xfId="0" applyFont="1" applyFill="1" applyAlignment="1">
      <alignment/>
    </xf>
    <xf numFmtId="183" fontId="10" fillId="0" borderId="0" xfId="0" applyNumberFormat="1" applyFont="1" applyFill="1" applyAlignment="1">
      <alignment/>
    </xf>
    <xf numFmtId="190" fontId="10" fillId="0" borderId="0" xfId="0" applyNumberFormat="1" applyFont="1" applyFill="1" applyAlignment="1">
      <alignment/>
    </xf>
    <xf numFmtId="190" fontId="9" fillId="0" borderId="10" xfId="0" applyNumberFormat="1" applyFont="1" applyFill="1" applyBorder="1" applyAlignment="1">
      <alignment horizontal="center"/>
    </xf>
    <xf numFmtId="190" fontId="9" fillId="0" borderId="10"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wrapText="1"/>
    </xf>
    <xf numFmtId="49" fontId="10" fillId="0" borderId="10" xfId="0" applyNumberFormat="1" applyFont="1" applyFill="1" applyBorder="1" applyAlignment="1">
      <alignment wrapText="1"/>
    </xf>
    <xf numFmtId="49" fontId="10"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2" fillId="0" borderId="0" xfId="0" applyFont="1" applyFill="1" applyAlignment="1">
      <alignment/>
    </xf>
    <xf numFmtId="0" fontId="5" fillId="0" borderId="0" xfId="0" applyFont="1" applyFill="1" applyBorder="1" applyAlignment="1">
      <alignment/>
    </xf>
    <xf numFmtId="190" fontId="10" fillId="0" borderId="10" xfId="0" applyNumberFormat="1" applyFont="1" applyFill="1" applyBorder="1" applyAlignment="1">
      <alignment horizontal="center" vertical="top"/>
    </xf>
    <xf numFmtId="190" fontId="10" fillId="0" borderId="10" xfId="0" applyNumberFormat="1" applyFont="1" applyFill="1" applyBorder="1" applyAlignment="1">
      <alignment horizontal="center" vertical="center" wrapText="1"/>
    </xf>
    <xf numFmtId="0" fontId="10" fillId="0" borderId="0" xfId="0" applyFont="1" applyFill="1" applyAlignment="1">
      <alignment horizontal="right"/>
    </xf>
    <xf numFmtId="190" fontId="3" fillId="0" borderId="11" xfId="0" applyNumberFormat="1" applyFont="1" applyFill="1" applyBorder="1" applyAlignment="1">
      <alignment horizontal="center" vertical="center" wrapText="1"/>
    </xf>
    <xf numFmtId="190" fontId="28"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xf>
    <xf numFmtId="190" fontId="4" fillId="0" borderId="11"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xf>
    <xf numFmtId="190" fontId="10" fillId="0" borderId="11" xfId="0" applyNumberFormat="1" applyFont="1" applyFill="1" applyBorder="1" applyAlignment="1">
      <alignment horizontal="center" vertical="center" wrapText="1"/>
    </xf>
    <xf numFmtId="190" fontId="9" fillId="0" borderId="11"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190" fontId="23" fillId="0" borderId="10" xfId="0" applyNumberFormat="1" applyFont="1" applyFill="1" applyBorder="1" applyAlignment="1">
      <alignment/>
    </xf>
    <xf numFmtId="190" fontId="10" fillId="0" borderId="10" xfId="0" applyNumberFormat="1" applyFont="1" applyFill="1" applyBorder="1" applyAlignment="1">
      <alignment horizontal="center" vertical="center"/>
    </xf>
    <xf numFmtId="0" fontId="30" fillId="0" borderId="10" xfId="0" applyFont="1" applyFill="1" applyBorder="1" applyAlignment="1">
      <alignment vertical="center" wrapText="1"/>
    </xf>
    <xf numFmtId="190" fontId="3" fillId="0" borderId="10" xfId="0" applyNumberFormat="1" applyFont="1" applyFill="1" applyBorder="1" applyAlignment="1">
      <alignment horizontal="center" vertical="center" wrapText="1"/>
    </xf>
    <xf numFmtId="0" fontId="29" fillId="0" borderId="10" xfId="0" applyFont="1" applyFill="1" applyBorder="1" applyAlignment="1">
      <alignment vertical="top" wrapText="1"/>
    </xf>
    <xf numFmtId="0" fontId="34" fillId="0" borderId="10" xfId="0" applyFont="1" applyFill="1" applyBorder="1" applyAlignment="1">
      <alignment vertical="center" wrapText="1"/>
    </xf>
    <xf numFmtId="0" fontId="31" fillId="0" borderId="10" xfId="0" applyFont="1" applyFill="1" applyBorder="1" applyAlignment="1">
      <alignment vertical="top" wrapText="1"/>
    </xf>
    <xf numFmtId="190" fontId="24"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right"/>
    </xf>
    <xf numFmtId="0" fontId="10" fillId="0" borderId="10" xfId="0" applyNumberFormat="1" applyFont="1" applyFill="1" applyBorder="1" applyAlignment="1">
      <alignment horizontal="center" vertical="top" wrapText="1"/>
    </xf>
    <xf numFmtId="190" fontId="10" fillId="0" borderId="0" xfId="0" applyNumberFormat="1" applyFont="1" applyFill="1" applyBorder="1" applyAlignment="1">
      <alignment horizontal="center" vertical="center"/>
    </xf>
    <xf numFmtId="0" fontId="30" fillId="0" borderId="10" xfId="0" applyFont="1" applyFill="1" applyBorder="1" applyAlignment="1">
      <alignment horizontal="left" vertical="top" wrapText="1"/>
    </xf>
    <xf numFmtId="190" fontId="16" fillId="0" borderId="0" xfId="0" applyNumberFormat="1" applyFont="1" applyFill="1" applyAlignment="1">
      <alignment/>
    </xf>
    <xf numFmtId="0" fontId="3"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35" fillId="0" borderId="0" xfId="0" applyFont="1" applyFill="1" applyAlignment="1">
      <alignment/>
    </xf>
    <xf numFmtId="190" fontId="7" fillId="0" borderId="0" xfId="0" applyNumberFormat="1" applyFont="1" applyFill="1" applyAlignment="1">
      <alignment/>
    </xf>
    <xf numFmtId="190" fontId="3" fillId="0" borderId="10" xfId="0" applyNumberFormat="1" applyFont="1" applyFill="1" applyBorder="1" applyAlignment="1">
      <alignment horizontal="right"/>
    </xf>
    <xf numFmtId="190" fontId="24" fillId="0" borderId="10" xfId="0" applyNumberFormat="1" applyFont="1" applyFill="1" applyBorder="1" applyAlignment="1">
      <alignment horizontal="right"/>
    </xf>
    <xf numFmtId="190" fontId="7" fillId="0" borderId="10" xfId="0" applyNumberFormat="1" applyFont="1" applyFill="1" applyBorder="1" applyAlignment="1">
      <alignment horizontal="right"/>
    </xf>
    <xf numFmtId="188" fontId="7" fillId="0" borderId="0" xfId="0" applyNumberFormat="1" applyFont="1" applyFill="1" applyAlignment="1">
      <alignment/>
    </xf>
    <xf numFmtId="188" fontId="35" fillId="0" borderId="0" xfId="0" applyNumberFormat="1" applyFont="1" applyFill="1" applyAlignment="1">
      <alignment/>
    </xf>
    <xf numFmtId="4" fontId="7" fillId="0" borderId="0" xfId="0" applyNumberFormat="1" applyFont="1" applyFill="1" applyAlignment="1">
      <alignment/>
    </xf>
    <xf numFmtId="183" fontId="7" fillId="0" borderId="0" xfId="0" applyNumberFormat="1" applyFont="1" applyFill="1" applyAlignment="1">
      <alignment/>
    </xf>
    <xf numFmtId="49" fontId="7" fillId="0" borderId="0" xfId="0" applyNumberFormat="1" applyFont="1" applyFill="1" applyAlignment="1">
      <alignment/>
    </xf>
    <xf numFmtId="49" fontId="36" fillId="0" borderId="0" xfId="0" applyNumberFormat="1" applyFont="1" applyFill="1" applyAlignment="1">
      <alignment/>
    </xf>
    <xf numFmtId="0" fontId="36" fillId="0" borderId="0" xfId="0" applyFont="1" applyFill="1" applyAlignment="1">
      <alignment horizontal="left"/>
    </xf>
    <xf numFmtId="0" fontId="7" fillId="0" borderId="0" xfId="0" applyFont="1" applyFill="1" applyAlignment="1">
      <alignment horizontal="center"/>
    </xf>
    <xf numFmtId="190" fontId="37" fillId="0" borderId="0" xfId="0" applyNumberFormat="1" applyFont="1" applyFill="1" applyAlignment="1">
      <alignment/>
    </xf>
    <xf numFmtId="4" fontId="35" fillId="0" borderId="0" xfId="0" applyNumberFormat="1" applyFont="1" applyFill="1" applyAlignment="1">
      <alignment/>
    </xf>
    <xf numFmtId="0" fontId="37" fillId="0" borderId="0" xfId="0" applyFont="1" applyFill="1" applyAlignment="1">
      <alignment/>
    </xf>
    <xf numFmtId="188" fontId="37" fillId="0" borderId="0" xfId="0" applyNumberFormat="1" applyFont="1" applyFill="1" applyAlignment="1">
      <alignment/>
    </xf>
    <xf numFmtId="182" fontId="35" fillId="0" borderId="0" xfId="0" applyNumberFormat="1" applyFont="1" applyFill="1" applyAlignment="1">
      <alignment/>
    </xf>
    <xf numFmtId="0" fontId="13" fillId="0" borderId="0" xfId="0" applyFont="1" applyFill="1" applyAlignment="1">
      <alignment/>
    </xf>
    <xf numFmtId="194" fontId="7" fillId="0" borderId="0" xfId="0" applyNumberFormat="1" applyFont="1" applyFill="1" applyAlignment="1">
      <alignment/>
    </xf>
    <xf numFmtId="0" fontId="38" fillId="0" borderId="0" xfId="0" applyFont="1" applyFill="1" applyAlignment="1">
      <alignment/>
    </xf>
    <xf numFmtId="188" fontId="13" fillId="0" borderId="0" xfId="0" applyNumberFormat="1" applyFont="1" applyFill="1" applyAlignment="1">
      <alignment/>
    </xf>
    <xf numFmtId="49" fontId="24"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90" fontId="7" fillId="0" borderId="0" xfId="0" applyNumberFormat="1" applyFont="1" applyFill="1" applyAlignment="1">
      <alignment vertical="center"/>
    </xf>
    <xf numFmtId="190" fontId="35" fillId="0" borderId="0" xfId="0" applyNumberFormat="1" applyFont="1" applyFill="1" applyAlignment="1">
      <alignment/>
    </xf>
    <xf numFmtId="190" fontId="10" fillId="0" borderId="0" xfId="0" applyNumberFormat="1" applyFont="1" applyFill="1" applyBorder="1" applyAlignment="1">
      <alignment horizontal="center" vertical="center" wrapText="1"/>
    </xf>
    <xf numFmtId="0" fontId="13" fillId="0" borderId="0" xfId="0" applyFont="1" applyFill="1" applyAlignment="1">
      <alignment vertical="center"/>
    </xf>
    <xf numFmtId="190" fontId="13" fillId="0" borderId="0" xfId="0" applyNumberFormat="1" applyFont="1" applyFill="1" applyAlignment="1">
      <alignment/>
    </xf>
    <xf numFmtId="188" fontId="23" fillId="0" borderId="0" xfId="0" applyNumberFormat="1" applyFont="1" applyFill="1" applyAlignment="1">
      <alignment vertical="center"/>
    </xf>
    <xf numFmtId="188" fontId="16" fillId="0" borderId="0" xfId="0" applyNumberFormat="1" applyFont="1" applyFill="1" applyAlignment="1">
      <alignment/>
    </xf>
    <xf numFmtId="182" fontId="0" fillId="0" borderId="0" xfId="0" applyNumberFormat="1" applyFont="1" applyFill="1" applyAlignment="1">
      <alignment/>
    </xf>
    <xf numFmtId="0" fontId="0" fillId="0" borderId="0" xfId="0" applyFont="1" applyFill="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88" fontId="10" fillId="0" borderId="11" xfId="0" applyNumberFormat="1" applyFont="1" applyFill="1" applyBorder="1" applyAlignment="1">
      <alignment horizontal="center" vertical="center" wrapText="1"/>
    </xf>
    <xf numFmtId="188" fontId="9" fillId="0" borderId="11" xfId="0" applyNumberFormat="1" applyFont="1" applyFill="1" applyBorder="1" applyAlignment="1">
      <alignment horizontal="center" vertical="center" wrapText="1"/>
    </xf>
    <xf numFmtId="176" fontId="0" fillId="0" borderId="0" xfId="0" applyNumberFormat="1" applyFont="1" applyFill="1" applyAlignment="1">
      <alignment/>
    </xf>
    <xf numFmtId="49" fontId="0" fillId="0" borderId="0" xfId="0" applyNumberFormat="1" applyFont="1" applyFill="1" applyAlignment="1">
      <alignment/>
    </xf>
    <xf numFmtId="2" fontId="0" fillId="0" borderId="0" xfId="0" applyNumberFormat="1" applyFont="1" applyFill="1" applyAlignment="1">
      <alignment/>
    </xf>
    <xf numFmtId="0" fontId="26" fillId="0" borderId="0" xfId="0" applyFont="1" applyFill="1" applyAlignment="1">
      <alignment horizontal="right"/>
    </xf>
    <xf numFmtId="190" fontId="23" fillId="0" borderId="0" xfId="0" applyNumberFormat="1" applyFont="1" applyFill="1" applyAlignment="1">
      <alignment horizontal="center" vertical="center"/>
    </xf>
    <xf numFmtId="190" fontId="23" fillId="0" borderId="0" xfId="0" applyNumberFormat="1" applyFont="1" applyFill="1" applyBorder="1" applyAlignment="1">
      <alignment/>
    </xf>
    <xf numFmtId="190" fontId="9" fillId="0" borderId="10" xfId="0" applyNumberFormat="1" applyFont="1" applyFill="1" applyBorder="1" applyAlignment="1">
      <alignment horizontal="center" vertical="top"/>
    </xf>
    <xf numFmtId="190" fontId="0" fillId="0" borderId="0" xfId="0" applyNumberFormat="1" applyFill="1" applyAlignment="1">
      <alignment/>
    </xf>
    <xf numFmtId="0" fontId="0" fillId="0" borderId="0" xfId="0" applyFill="1" applyAlignment="1">
      <alignment/>
    </xf>
    <xf numFmtId="190" fontId="30" fillId="0" borderId="10" xfId="0" applyNumberFormat="1" applyFont="1" applyFill="1" applyBorder="1" applyAlignment="1">
      <alignment horizontal="center" vertical="center" wrapText="1"/>
    </xf>
    <xf numFmtId="190" fontId="2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0" fontId="10"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vertical="top" wrapText="1"/>
    </xf>
    <xf numFmtId="0" fontId="3" fillId="0" borderId="0" xfId="0" applyFont="1" applyFill="1" applyAlignment="1">
      <alignment/>
    </xf>
    <xf numFmtId="0" fontId="3" fillId="0" borderId="0" xfId="0" applyFont="1" applyFill="1" applyAlignment="1">
      <alignment horizontal="center"/>
    </xf>
    <xf numFmtId="0" fontId="6" fillId="0" borderId="0" xfId="0" applyFont="1" applyFill="1" applyBorder="1" applyAlignment="1">
      <alignment horizontal="center" vertical="justify" wrapText="1"/>
    </xf>
    <xf numFmtId="0" fontId="3" fillId="0" borderId="0" xfId="0" applyFont="1" applyFill="1" applyBorder="1" applyAlignment="1">
      <alignment horizontal="right" vertical="justify" wrapText="1"/>
    </xf>
    <xf numFmtId="0" fontId="15" fillId="0" borderId="0" xfId="0" applyFont="1" applyFill="1" applyBorder="1" applyAlignment="1">
      <alignment horizontal="left" vertical="justify" wrapText="1"/>
    </xf>
    <xf numFmtId="0" fontId="14" fillId="0" borderId="0" xfId="0" applyFont="1" applyFill="1" applyBorder="1" applyAlignment="1">
      <alignment horizontal="center" vertical="justify"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188" fontId="0" fillId="0" borderId="0" xfId="0" applyNumberFormat="1" applyFill="1" applyAlignment="1">
      <alignment/>
    </xf>
    <xf numFmtId="0" fontId="0" fillId="0" borderId="0" xfId="0" applyFont="1" applyFill="1" applyAlignment="1">
      <alignment/>
    </xf>
    <xf numFmtId="183" fontId="16" fillId="0" borderId="0" xfId="0" applyNumberFormat="1" applyFont="1" applyFill="1" applyAlignment="1">
      <alignment/>
    </xf>
    <xf numFmtId="190" fontId="3" fillId="0" borderId="0" xfId="0" applyNumberFormat="1" applyFont="1" applyFill="1" applyAlignment="1">
      <alignment horizontal="center" vertical="center"/>
    </xf>
    <xf numFmtId="182" fontId="3" fillId="0" borderId="0" xfId="0" applyNumberFormat="1" applyFont="1" applyFill="1" applyAlignment="1">
      <alignment horizontal="center" vertical="center"/>
    </xf>
    <xf numFmtId="190" fontId="4" fillId="0" borderId="10" xfId="64" applyNumberFormat="1" applyFont="1" applyFill="1" applyBorder="1" applyAlignment="1">
      <alignment horizontal="center" vertical="center" wrapText="1"/>
    </xf>
    <xf numFmtId="4" fontId="3" fillId="0" borderId="12" xfId="0" applyNumberFormat="1" applyFont="1" applyFill="1" applyBorder="1" applyAlignment="1">
      <alignment horizontal="left" vertical="center"/>
    </xf>
    <xf numFmtId="190" fontId="3" fillId="0" borderId="10" xfId="64" applyNumberFormat="1" applyFont="1" applyFill="1" applyBorder="1" applyAlignment="1">
      <alignment horizontal="center" vertical="center" wrapText="1"/>
    </xf>
    <xf numFmtId="0" fontId="3" fillId="0" borderId="0" xfId="0" applyFont="1" applyFill="1" applyAlignment="1">
      <alignment horizontal="left" vertical="center"/>
    </xf>
    <xf numFmtId="190" fontId="4" fillId="0" borderId="10" xfId="0" applyNumberFormat="1" applyFont="1" applyFill="1" applyBorder="1" applyAlignment="1">
      <alignment horizontal="center" vertical="center"/>
    </xf>
    <xf numFmtId="190" fontId="24" fillId="0" borderId="10" xfId="64"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190" fontId="28" fillId="0" borderId="10" xfId="64" applyNumberFormat="1" applyFont="1" applyFill="1" applyBorder="1" applyAlignment="1">
      <alignment horizontal="center" vertical="center" wrapText="1"/>
    </xf>
    <xf numFmtId="190" fontId="28"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190" fontId="3" fillId="0" borderId="0" xfId="0" applyNumberFormat="1" applyFont="1" applyFill="1" applyBorder="1" applyAlignment="1">
      <alignment horizontal="center" vertical="center"/>
    </xf>
    <xf numFmtId="0" fontId="3" fillId="0" borderId="0" xfId="0" applyFont="1" applyFill="1" applyBorder="1" applyAlignment="1">
      <alignment/>
    </xf>
    <xf numFmtId="190" fontId="3" fillId="0" borderId="0" xfId="0" applyNumberFormat="1" applyFont="1" applyFill="1" applyAlignment="1">
      <alignment/>
    </xf>
    <xf numFmtId="0" fontId="3" fillId="0" borderId="0" xfId="0" applyFont="1" applyFill="1" applyAlignment="1">
      <alignment horizontal="center" vertical="center"/>
    </xf>
    <xf numFmtId="0" fontId="23" fillId="0" borderId="0" xfId="0" applyFont="1" applyFill="1" applyAlignment="1">
      <alignment vertical="center"/>
    </xf>
    <xf numFmtId="0" fontId="16" fillId="0" borderId="0" xfId="0" applyFont="1" applyFill="1" applyAlignment="1">
      <alignment vertical="center"/>
    </xf>
    <xf numFmtId="0" fontId="3" fillId="0" borderId="0" xfId="0" applyFont="1" applyFill="1" applyAlignment="1">
      <alignment horizontal="left"/>
    </xf>
    <xf numFmtId="0" fontId="3" fillId="0" borderId="0" xfId="0" applyFont="1" applyFill="1" applyAlignment="1">
      <alignment/>
    </xf>
    <xf numFmtId="182" fontId="3" fillId="0" borderId="0" xfId="0" applyNumberFormat="1" applyFont="1" applyFill="1" applyAlignment="1">
      <alignment/>
    </xf>
    <xf numFmtId="0" fontId="3" fillId="0" borderId="0" xfId="0" applyFont="1" applyFill="1" applyAlignment="1">
      <alignment horizontal="left" vertical="justify"/>
    </xf>
    <xf numFmtId="182" fontId="3" fillId="0" borderId="0" xfId="0" applyNumberFormat="1" applyFont="1" applyFill="1" applyAlignment="1">
      <alignment horizontal="right"/>
    </xf>
    <xf numFmtId="183" fontId="3" fillId="0" borderId="0" xfId="0" applyNumberFormat="1" applyFont="1" applyFill="1" applyAlignment="1">
      <alignment horizontal="left" vertical="center"/>
    </xf>
    <xf numFmtId="190" fontId="3" fillId="0" borderId="0" xfId="0" applyNumberFormat="1" applyFont="1" applyFill="1" applyAlignment="1">
      <alignment horizontal="left" vertical="center"/>
    </xf>
    <xf numFmtId="190" fontId="4" fillId="0" borderId="0" xfId="0" applyNumberFormat="1" applyFont="1" applyFill="1" applyAlignment="1">
      <alignment/>
    </xf>
    <xf numFmtId="2" fontId="3" fillId="0" borderId="0" xfId="0" applyNumberFormat="1" applyFont="1" applyFill="1" applyAlignment="1">
      <alignment/>
    </xf>
    <xf numFmtId="188" fontId="3" fillId="0" borderId="0" xfId="0" applyNumberFormat="1" applyFont="1" applyFill="1" applyAlignment="1">
      <alignment/>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top" wrapText="1"/>
    </xf>
    <xf numFmtId="0" fontId="33" fillId="0" borderId="0" xfId="0" applyFont="1" applyFill="1" applyAlignment="1">
      <alignment/>
    </xf>
    <xf numFmtId="0" fontId="9" fillId="0" borderId="0" xfId="0" applyFont="1" applyFill="1" applyAlignment="1">
      <alignment horizontal="center" vertical="center" wrapText="1"/>
    </xf>
    <xf numFmtId="0" fontId="30" fillId="0" borderId="0" xfId="0" applyFont="1" applyFill="1" applyBorder="1" applyAlignment="1">
      <alignment vertical="center" wrapText="1"/>
    </xf>
    <xf numFmtId="49" fontId="30" fillId="0" borderId="0" xfId="0" applyNumberFormat="1" applyFont="1" applyFill="1" applyBorder="1" applyAlignment="1">
      <alignment horizontal="center" vertical="center" wrapText="1" shrinkToFit="1"/>
    </xf>
    <xf numFmtId="49" fontId="30" fillId="0" borderId="13" xfId="0" applyNumberFormat="1" applyFont="1" applyFill="1" applyBorder="1" applyAlignment="1">
      <alignment horizontal="center" vertical="center" wrapText="1" shrinkToFit="1"/>
    </xf>
    <xf numFmtId="0" fontId="10" fillId="0" borderId="0" xfId="0" applyFont="1" applyFill="1" applyBorder="1" applyAlignment="1">
      <alignment/>
    </xf>
    <xf numFmtId="0" fontId="23" fillId="0" borderId="0" xfId="0" applyFont="1" applyFill="1" applyBorder="1" applyAlignment="1">
      <alignment horizontal="left"/>
    </xf>
    <xf numFmtId="0" fontId="23" fillId="0" borderId="0" xfId="0" applyFont="1" applyFill="1" applyAlignment="1">
      <alignment horizontal="center"/>
    </xf>
    <xf numFmtId="190" fontId="9" fillId="0" borderId="0" xfId="0" applyNumberFormat="1" applyFont="1" applyFill="1" applyAlignment="1">
      <alignment horizontal="center" vertical="center" wrapText="1"/>
    </xf>
    <xf numFmtId="49" fontId="23" fillId="0" borderId="0" xfId="0" applyNumberFormat="1" applyFont="1" applyFill="1" applyBorder="1" applyAlignment="1">
      <alignment horizontal="left"/>
    </xf>
    <xf numFmtId="49" fontId="23" fillId="0" borderId="0" xfId="0" applyNumberFormat="1" applyFont="1" applyFill="1" applyBorder="1" applyAlignment="1">
      <alignment horizontal="center"/>
    </xf>
    <xf numFmtId="182" fontId="23" fillId="0" borderId="0" xfId="0" applyNumberFormat="1" applyFont="1" applyFill="1" applyAlignment="1">
      <alignment/>
    </xf>
    <xf numFmtId="49" fontId="23" fillId="0" borderId="0" xfId="0" applyNumberFormat="1" applyFont="1" applyFill="1" applyAlignment="1">
      <alignment/>
    </xf>
    <xf numFmtId="184" fontId="23" fillId="0" borderId="0" xfId="0" applyNumberFormat="1" applyFont="1" applyFill="1" applyAlignment="1">
      <alignment/>
    </xf>
    <xf numFmtId="190" fontId="80" fillId="0" borderId="0" xfId="0" applyNumberFormat="1" applyFont="1" applyFill="1" applyAlignment="1">
      <alignment/>
    </xf>
    <xf numFmtId="0" fontId="41" fillId="0" borderId="10" xfId="0" applyFont="1" applyFill="1" applyBorder="1" applyAlignment="1">
      <alignment vertical="center" wrapText="1"/>
    </xf>
    <xf numFmtId="49" fontId="41"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shrinkToFit="1"/>
    </xf>
    <xf numFmtId="0" fontId="42" fillId="0" borderId="10" xfId="0" applyFont="1" applyFill="1" applyBorder="1" applyAlignment="1">
      <alignment vertical="center" wrapText="1"/>
    </xf>
    <xf numFmtId="49" fontId="42" fillId="0" borderId="10" xfId="0" applyNumberFormat="1" applyFont="1" applyFill="1" applyBorder="1" applyAlignment="1">
      <alignment horizontal="center" vertical="center" wrapText="1"/>
    </xf>
    <xf numFmtId="49" fontId="42" fillId="0" borderId="10" xfId="0" applyNumberFormat="1" applyFont="1" applyFill="1" applyBorder="1" applyAlignment="1">
      <alignment horizontal="center" vertical="center" wrapText="1" shrinkToFit="1"/>
    </xf>
    <xf numFmtId="183" fontId="0" fillId="0" borderId="0" xfId="0" applyNumberFormat="1" applyFill="1" applyAlignment="1">
      <alignment/>
    </xf>
    <xf numFmtId="190" fontId="6" fillId="0" borderId="10" xfId="0" applyNumberFormat="1" applyFont="1" applyFill="1" applyBorder="1" applyAlignment="1">
      <alignment horizontal="center" vertical="center" wrapText="1"/>
    </xf>
    <xf numFmtId="183" fontId="4" fillId="0" borderId="10" xfId="0" applyNumberFormat="1" applyFont="1" applyFill="1" applyBorder="1" applyAlignment="1">
      <alignment horizontal="center" vertical="center" wrapText="1"/>
    </xf>
    <xf numFmtId="0" fontId="16" fillId="0" borderId="0" xfId="0" applyFont="1" applyFill="1" applyAlignment="1">
      <alignment horizontal="center"/>
    </xf>
    <xf numFmtId="183" fontId="3"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0" fontId="3" fillId="0" borderId="0" xfId="43" applyFont="1" applyFill="1" applyAlignment="1">
      <alignment horizontal="right"/>
    </xf>
    <xf numFmtId="0" fontId="3" fillId="0" borderId="0" xfId="0" applyFont="1" applyFill="1" applyAlignment="1">
      <alignment horizontal="right"/>
    </xf>
    <xf numFmtId="0" fontId="6" fillId="0" borderId="0" xfId="0" applyFont="1" applyFill="1" applyBorder="1" applyAlignment="1">
      <alignment horizontal="center" vertical="justify"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horizontal="right"/>
    </xf>
    <xf numFmtId="0" fontId="6" fillId="0" borderId="0" xfId="0" applyFont="1" applyFill="1" applyAlignment="1">
      <alignment horizontal="center" vertical="justify" wrapText="1"/>
    </xf>
    <xf numFmtId="0" fontId="21" fillId="0" borderId="0" xfId="0" applyFont="1" applyFill="1" applyAlignment="1">
      <alignment/>
    </xf>
    <xf numFmtId="49" fontId="3" fillId="0" borderId="14" xfId="0" applyNumberFormat="1" applyFont="1" applyFill="1" applyBorder="1" applyAlignment="1">
      <alignment horizontal="center"/>
    </xf>
    <xf numFmtId="182"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justify" wrapText="1"/>
    </xf>
    <xf numFmtId="0" fontId="3" fillId="0" borderId="11"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26"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0" fillId="0" borderId="0" xfId="0" applyFill="1" applyAlignment="1">
      <alignment horizontal="right"/>
    </xf>
    <xf numFmtId="0" fontId="10" fillId="0" borderId="10" xfId="0" applyFont="1" applyFill="1" applyBorder="1" applyAlignment="1">
      <alignment horizontal="center" vertical="center" wrapText="1"/>
    </xf>
    <xf numFmtId="0" fontId="10" fillId="0" borderId="0" xfId="0" applyFont="1" applyFill="1" applyAlignment="1">
      <alignment horizontal="right"/>
    </xf>
    <xf numFmtId="0" fontId="2" fillId="0" borderId="10"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0" fillId="0" borderId="0" xfId="0" applyFont="1" applyFill="1" applyAlignment="1">
      <alignment horizont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190" fontId="21" fillId="0" borderId="15" xfId="0" applyNumberFormat="1" applyFont="1" applyFill="1" applyBorder="1" applyAlignment="1">
      <alignment horizontal="center" vertical="center" wrapText="1"/>
    </xf>
    <xf numFmtId="190" fontId="21" fillId="0" borderId="16" xfId="0" applyNumberFormat="1" applyFont="1" applyFill="1" applyBorder="1" applyAlignment="1">
      <alignment horizontal="center" vertical="center" wrapText="1"/>
    </xf>
    <xf numFmtId="0" fontId="10" fillId="0" borderId="0" xfId="0" applyFont="1" applyFill="1" applyAlignment="1">
      <alignment/>
    </xf>
    <xf numFmtId="0" fontId="2" fillId="0" borderId="0" xfId="0" applyFont="1" applyFill="1" applyBorder="1" applyAlignment="1">
      <alignment horizontal="right"/>
    </xf>
    <xf numFmtId="0" fontId="3" fillId="0" borderId="15" xfId="0" applyFont="1" applyFill="1" applyBorder="1" applyAlignment="1">
      <alignment horizontal="left" vertical="center" wrapText="1"/>
    </xf>
    <xf numFmtId="182" fontId="3" fillId="0" borderId="15"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182" fontId="3" fillId="0" borderId="16" xfId="0" applyNumberFormat="1"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0" xfId="0" applyFont="1" applyFill="1" applyBorder="1" applyAlignment="1">
      <alignment horizontal="left" vertical="center" wrapText="1"/>
    </xf>
    <xf numFmtId="190" fontId="21" fillId="0" borderId="10" xfId="0" applyNumberFormat="1" applyFont="1" applyFill="1" applyBorder="1" applyAlignment="1">
      <alignment horizontal="center" vertical="center" wrapText="1"/>
    </xf>
    <xf numFmtId="0" fontId="40" fillId="0" borderId="0" xfId="0" applyFont="1" applyFill="1" applyAlignment="1">
      <alignment/>
    </xf>
    <xf numFmtId="190" fontId="3" fillId="0" borderId="13" xfId="0" applyNumberFormat="1"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lignment horizontal="right" wrapText="1"/>
    </xf>
    <xf numFmtId="0" fontId="7" fillId="0" borderId="0" xfId="0" applyFont="1" applyFill="1" applyAlignment="1">
      <alignment horizontal="center" vertical="center"/>
    </xf>
    <xf numFmtId="182" fontId="7" fillId="0" borderId="0" xfId="0" applyNumberFormat="1" applyFont="1" applyFill="1" applyAlignment="1">
      <alignment/>
    </xf>
    <xf numFmtId="0" fontId="24" fillId="0" borderId="10" xfId="0" applyFont="1" applyFill="1" applyBorder="1" applyAlignment="1">
      <alignment horizontal="left" vertical="center" wrapText="1"/>
    </xf>
    <xf numFmtId="49" fontId="3" fillId="0" borderId="10" xfId="0" applyNumberFormat="1" applyFont="1" applyFill="1" applyBorder="1" applyAlignment="1">
      <alignment wrapText="1"/>
    </xf>
    <xf numFmtId="49" fontId="24" fillId="0" borderId="0" xfId="0" applyNumberFormat="1" applyFont="1" applyFill="1" applyBorder="1" applyAlignment="1">
      <alignment horizontal="center" vertical="center" wrapText="1" shrinkToFit="1"/>
    </xf>
    <xf numFmtId="0" fontId="24" fillId="0" borderId="10" xfId="0" applyFont="1" applyFill="1" applyBorder="1" applyAlignment="1">
      <alignment horizontal="left" vertical="top" wrapText="1"/>
    </xf>
    <xf numFmtId="0" fontId="7" fillId="0" borderId="0" xfId="0" applyFont="1" applyFill="1" applyAlignment="1">
      <alignment vertical="center"/>
    </xf>
    <xf numFmtId="0" fontId="36" fillId="0" borderId="0" xfId="0" applyFont="1" applyFill="1" applyAlignment="1">
      <alignment/>
    </xf>
    <xf numFmtId="0" fontId="28" fillId="0" borderId="0" xfId="0" applyFont="1" applyFill="1" applyAlignment="1">
      <alignment/>
    </xf>
    <xf numFmtId="0" fontId="9" fillId="0" borderId="10" xfId="0" applyFont="1" applyFill="1" applyBorder="1" applyAlignment="1">
      <alignment horizontal="left" vertical="center" wrapText="1"/>
    </xf>
    <xf numFmtId="0" fontId="23" fillId="0" borderId="0" xfId="0" applyFont="1" applyFill="1" applyAlignment="1">
      <alignment horizontal="center" vertical="center"/>
    </xf>
    <xf numFmtId="49" fontId="27" fillId="0" borderId="10" xfId="0" applyNumberFormat="1" applyFont="1" applyFill="1" applyBorder="1" applyAlignment="1">
      <alignment horizontal="center" vertical="top" wrapText="1"/>
    </xf>
    <xf numFmtId="10" fontId="23" fillId="0" borderId="0" xfId="0" applyNumberFormat="1" applyFont="1" applyFill="1" applyAlignment="1">
      <alignment/>
    </xf>
    <xf numFmtId="0" fontId="9" fillId="0" borderId="10" xfId="0" applyFont="1" applyFill="1" applyBorder="1" applyAlignment="1">
      <alignment horizontal="left"/>
    </xf>
    <xf numFmtId="49" fontId="9" fillId="0" borderId="10" xfId="0" applyNumberFormat="1" applyFont="1" applyFill="1" applyBorder="1" applyAlignment="1">
      <alignment/>
    </xf>
    <xf numFmtId="191" fontId="23" fillId="0" borderId="0" xfId="0" applyNumberFormat="1" applyFont="1" applyFill="1" applyAlignment="1">
      <alignment/>
    </xf>
    <xf numFmtId="190" fontId="10" fillId="0" borderId="0" xfId="0" applyNumberFormat="1" applyFont="1" applyFill="1" applyAlignment="1">
      <alignment horizontal="right"/>
    </xf>
    <xf numFmtId="3" fontId="10" fillId="0" borderId="10" xfId="0" applyNumberFormat="1" applyFont="1" applyFill="1" applyBorder="1" applyAlignment="1">
      <alignment horizontal="center" vertical="center" wrapText="1"/>
    </xf>
    <xf numFmtId="190" fontId="32" fillId="0" borderId="0" xfId="0" applyNumberFormat="1" applyFont="1" applyFill="1" applyAlignment="1">
      <alignment/>
    </xf>
    <xf numFmtId="190" fontId="81" fillId="0" borderId="0" xfId="0" applyNumberFormat="1" applyFont="1" applyFill="1" applyAlignment="1">
      <alignment/>
    </xf>
    <xf numFmtId="4" fontId="9" fillId="0" borderId="0" xfId="0" applyNumberFormat="1" applyFont="1" applyFill="1" applyAlignment="1">
      <alignment/>
    </xf>
    <xf numFmtId="0" fontId="30" fillId="0" borderId="0" xfId="0" applyFont="1" applyFill="1" applyAlignment="1">
      <alignment/>
    </xf>
    <xf numFmtId="190" fontId="9" fillId="0" borderId="0" xfId="0" applyNumberFormat="1" applyFont="1" applyFill="1" applyAlignment="1">
      <alignment/>
    </xf>
    <xf numFmtId="0" fontId="9" fillId="0" borderId="10" xfId="0" applyFont="1" applyFill="1" applyBorder="1" applyAlignment="1">
      <alignment horizontal="left" vertical="top" wrapText="1"/>
    </xf>
    <xf numFmtId="183" fontId="23" fillId="0" borderId="0" xfId="0" applyNumberFormat="1" applyFont="1" applyFill="1" applyAlignment="1">
      <alignment/>
    </xf>
    <xf numFmtId="176" fontId="16" fillId="0" borderId="0" xfId="0" applyNumberFormat="1" applyFont="1" applyFill="1" applyAlignment="1">
      <alignment horizontal="center"/>
    </xf>
    <xf numFmtId="0" fontId="33" fillId="0" borderId="0" xfId="0" applyFont="1" applyFill="1" applyAlignment="1">
      <alignment horizontal="left"/>
    </xf>
    <xf numFmtId="190" fontId="33" fillId="0" borderId="0" xfId="0" applyNumberFormat="1" applyFont="1" applyFill="1" applyAlignment="1">
      <alignment/>
    </xf>
    <xf numFmtId="0" fontId="0" fillId="0" borderId="10" xfId="0" applyFill="1" applyBorder="1" applyAlignment="1">
      <alignment horizontal="center" vertical="center" wrapText="1"/>
    </xf>
    <xf numFmtId="182" fontId="0" fillId="0" borderId="0" xfId="0" applyNumberFormat="1" applyFill="1" applyAlignment="1">
      <alignment/>
    </xf>
    <xf numFmtId="0" fontId="3" fillId="0" borderId="0" xfId="0" applyFont="1" applyFill="1" applyBorder="1" applyAlignment="1">
      <alignment vertical="top"/>
    </xf>
    <xf numFmtId="0" fontId="21" fillId="0" borderId="0" xfId="0" applyFont="1" applyFill="1" applyBorder="1" applyAlignment="1">
      <alignment/>
    </xf>
    <xf numFmtId="0" fontId="2"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2" fillId="0" borderId="0" xfId="0" applyFont="1" applyFill="1" applyAlignment="1">
      <alignment horizontal="center"/>
    </xf>
    <xf numFmtId="4" fontId="24" fillId="0" borderId="11"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E23"/>
  <sheetViews>
    <sheetView view="pageBreakPreview" zoomScaleSheetLayoutView="100" zoomScalePageLayoutView="0" workbookViewId="0" topLeftCell="A1">
      <selection activeCell="C19" sqref="C19"/>
    </sheetView>
  </sheetViews>
  <sheetFormatPr defaultColWidth="9.00390625" defaultRowHeight="12.75"/>
  <cols>
    <col min="1" max="1" width="24.50390625" style="174" customWidth="1"/>
    <col min="2" max="2" width="43.625" style="174" customWidth="1"/>
    <col min="3" max="3" width="19.375" style="174" customWidth="1"/>
    <col min="4" max="4" width="12.50390625" style="174" bestFit="1" customWidth="1"/>
    <col min="5" max="5" width="10.50390625" style="174" customWidth="1"/>
    <col min="6" max="16384" width="8.875" style="174" customWidth="1"/>
  </cols>
  <sheetData>
    <row r="1" spans="1:3" ht="15">
      <c r="A1" s="181"/>
      <c r="B1" s="182"/>
      <c r="C1" s="1" t="s">
        <v>178</v>
      </c>
    </row>
    <row r="2" spans="1:3" ht="16.5" customHeight="1">
      <c r="A2" s="181"/>
      <c r="B2" s="182"/>
      <c r="C2" s="1" t="s">
        <v>394</v>
      </c>
    </row>
    <row r="3" spans="1:3" ht="16.5" customHeight="1">
      <c r="A3" s="181"/>
      <c r="B3" s="255" t="s">
        <v>395</v>
      </c>
      <c r="C3" s="255"/>
    </row>
    <row r="4" spans="1:3" s="29" customFormat="1" ht="16.5" customHeight="1">
      <c r="A4" s="181"/>
      <c r="B4" s="256" t="s">
        <v>995</v>
      </c>
      <c r="C4" s="256"/>
    </row>
    <row r="5" spans="1:3" ht="16.5" customHeight="1">
      <c r="A5" s="181"/>
      <c r="B5" s="1"/>
      <c r="C5" s="1"/>
    </row>
    <row r="6" spans="1:3" ht="38.25" customHeight="1">
      <c r="A6" s="257" t="s">
        <v>875</v>
      </c>
      <c r="B6" s="257"/>
      <c r="C6" s="257"/>
    </row>
    <row r="7" spans="1:3" ht="15.75" customHeight="1">
      <c r="A7" s="183"/>
      <c r="B7" s="183"/>
      <c r="C7" s="184" t="s">
        <v>333</v>
      </c>
    </row>
    <row r="8" spans="1:3" ht="3.75" customHeight="1" hidden="1">
      <c r="A8" s="185" t="s">
        <v>307</v>
      </c>
      <c r="B8" s="186"/>
      <c r="C8" s="186"/>
    </row>
    <row r="9" spans="1:3" ht="16.5" customHeight="1">
      <c r="A9" s="258" t="s">
        <v>140</v>
      </c>
      <c r="B9" s="258" t="s">
        <v>296</v>
      </c>
      <c r="C9" s="259" t="s">
        <v>732</v>
      </c>
    </row>
    <row r="10" spans="1:3" ht="16.5" customHeight="1">
      <c r="A10" s="258"/>
      <c r="B10" s="258"/>
      <c r="C10" s="259"/>
    </row>
    <row r="11" spans="1:3" ht="22.5" customHeight="1">
      <c r="A11" s="258"/>
      <c r="B11" s="258"/>
      <c r="C11" s="259"/>
    </row>
    <row r="12" spans="1:3" ht="34.5" customHeight="1">
      <c r="A12" s="3" t="s">
        <v>297</v>
      </c>
      <c r="B12" s="187" t="s">
        <v>298</v>
      </c>
      <c r="C12" s="101">
        <f>C13+C14</f>
        <v>4746.86335</v>
      </c>
    </row>
    <row r="13" spans="1:3" ht="52.5" customHeight="1">
      <c r="A13" s="19" t="s">
        <v>299</v>
      </c>
      <c r="B13" s="188" t="s">
        <v>300</v>
      </c>
      <c r="C13" s="56">
        <f>1346.86335+3400</f>
        <v>4746.86335</v>
      </c>
    </row>
    <row r="14" spans="1:4" ht="50.25" customHeight="1">
      <c r="A14" s="26" t="s">
        <v>301</v>
      </c>
      <c r="B14" s="189" t="s">
        <v>302</v>
      </c>
      <c r="C14" s="56">
        <v>0</v>
      </c>
      <c r="D14" s="173"/>
    </row>
    <row r="15" spans="1:3" ht="51" customHeight="1">
      <c r="A15" s="3" t="s">
        <v>303</v>
      </c>
      <c r="B15" s="187" t="s">
        <v>304</v>
      </c>
      <c r="C15" s="101">
        <f>C16+C17</f>
        <v>-1346.86335</v>
      </c>
    </row>
    <row r="16" spans="1:3" ht="63" customHeight="1">
      <c r="A16" s="26" t="s">
        <v>238</v>
      </c>
      <c r="B16" s="190" t="s">
        <v>308</v>
      </c>
      <c r="C16" s="111">
        <v>0</v>
      </c>
    </row>
    <row r="17" spans="1:3" ht="67.5" customHeight="1">
      <c r="A17" s="191" t="s">
        <v>239</v>
      </c>
      <c r="B17" s="192" t="s">
        <v>309</v>
      </c>
      <c r="C17" s="56">
        <f>-(926.86335+420)</f>
        <v>-1346.86335</v>
      </c>
    </row>
    <row r="18" spans="1:3" ht="36" customHeight="1">
      <c r="A18" s="3" t="s">
        <v>348</v>
      </c>
      <c r="B18" s="187" t="s">
        <v>349</v>
      </c>
      <c r="C18" s="101">
        <f>C19+C20</f>
        <v>26397.95684999996</v>
      </c>
    </row>
    <row r="19" spans="1:5" ht="36" customHeight="1">
      <c r="A19" s="19" t="s">
        <v>0</v>
      </c>
      <c r="B19" s="188" t="s">
        <v>1</v>
      </c>
      <c r="C19" s="309">
        <f>-(658643.34485+6993.02437+4939.23+5326.73943+17248.09678)</f>
        <v>-693150.43543</v>
      </c>
      <c r="D19" s="248"/>
      <c r="E19" s="173"/>
    </row>
    <row r="20" spans="1:3" ht="39" customHeight="1">
      <c r="A20" s="19" t="s">
        <v>2</v>
      </c>
      <c r="B20" s="188" t="s">
        <v>3</v>
      </c>
      <c r="C20" s="56">
        <f>685041.3017+6993.02437+4939.23+5326.73943+17248.09678</f>
        <v>719548.3922799999</v>
      </c>
    </row>
    <row r="21" spans="1:5" ht="19.5" customHeight="1">
      <c r="A21" s="3"/>
      <c r="B21" s="193" t="s">
        <v>310</v>
      </c>
      <c r="C21" s="176">
        <f>C12+C15+C18</f>
        <v>29797.95684999996</v>
      </c>
      <c r="E21" s="194"/>
    </row>
    <row r="22" spans="1:3" s="195" customFormat="1" ht="21.75" customHeight="1">
      <c r="A22" s="174"/>
      <c r="B22" s="174"/>
      <c r="C22" s="174"/>
    </row>
    <row r="23" spans="1:3" s="18" customFormat="1" ht="12.75">
      <c r="A23" s="174"/>
      <c r="B23" s="174"/>
      <c r="C23" s="174"/>
    </row>
  </sheetData>
  <sheetProtection/>
  <mergeCells count="6">
    <mergeCell ref="B3:C3"/>
    <mergeCell ref="B4:C4"/>
    <mergeCell ref="A6:C6"/>
    <mergeCell ref="A9:A11"/>
    <mergeCell ref="B9:B11"/>
    <mergeCell ref="C9:C1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V94"/>
  <sheetViews>
    <sheetView view="pageBreakPreview" zoomScale="90" zoomScaleSheetLayoutView="90" zoomScalePageLayoutView="0" workbookViewId="0" topLeftCell="A1">
      <selection activeCell="B12" sqref="B12:C12"/>
    </sheetView>
  </sheetViews>
  <sheetFormatPr defaultColWidth="0" defaultRowHeight="12.75"/>
  <cols>
    <col min="1" max="1" width="25.875" style="215" customWidth="1"/>
    <col min="2" max="2" width="9.125" style="216" customWidth="1"/>
    <col min="3" max="3" width="63.375" style="216" customWidth="1"/>
    <col min="4" max="5" width="16.00390625" style="25" hidden="1" customWidth="1"/>
    <col min="6" max="6" width="22.125" style="197" customWidth="1"/>
    <col min="7" max="7" width="15.50390625" style="212" hidden="1" customWidth="1"/>
    <col min="8" max="8" width="18.25390625" style="202" customWidth="1"/>
    <col min="9" max="9" width="24.625" style="25" customWidth="1"/>
    <col min="10" max="10" width="38.875" style="25" customWidth="1"/>
    <col min="11" max="247" width="9.125" style="25" customWidth="1"/>
    <col min="248" max="248" width="24.00390625" style="25" customWidth="1"/>
    <col min="249" max="249" width="9.125" style="25" customWidth="1"/>
    <col min="250" max="250" width="51.50390625" style="25" customWidth="1"/>
    <col min="251" max="252" width="0" style="25" hidden="1" customWidth="1"/>
    <col min="253" max="253" width="16.625" style="25" customWidth="1"/>
    <col min="254" max="254" width="0" style="25" hidden="1" customWidth="1"/>
    <col min="255" max="255" width="16.625" style="25" customWidth="1"/>
    <col min="256" max="16384" width="0" style="25" hidden="1" customWidth="1"/>
  </cols>
  <sheetData>
    <row r="1" spans="3:7" ht="15" customHeight="1">
      <c r="C1" s="260" t="s">
        <v>442</v>
      </c>
      <c r="D1" s="261"/>
      <c r="E1" s="261"/>
      <c r="F1" s="261"/>
      <c r="G1" s="261"/>
    </row>
    <row r="2" spans="3:7" ht="15" customHeight="1">
      <c r="C2" s="260" t="s">
        <v>394</v>
      </c>
      <c r="D2" s="262"/>
      <c r="E2" s="262"/>
      <c r="F2" s="262"/>
      <c r="G2" s="262"/>
    </row>
    <row r="3" spans="3:7" ht="15" customHeight="1">
      <c r="C3" s="260" t="s">
        <v>395</v>
      </c>
      <c r="D3" s="262"/>
      <c r="E3" s="262"/>
      <c r="F3" s="262"/>
      <c r="G3" s="262"/>
    </row>
    <row r="4" spans="3:7" ht="15" customHeight="1">
      <c r="C4" s="260" t="s">
        <v>995</v>
      </c>
      <c r="D4" s="261"/>
      <c r="E4" s="261"/>
      <c r="F4" s="261"/>
      <c r="G4" s="261"/>
    </row>
    <row r="5" spans="4:5" ht="15" customHeight="1">
      <c r="D5" s="217"/>
      <c r="E5" s="217"/>
    </row>
    <row r="6" spans="1:7" ht="22.5" customHeight="1">
      <c r="A6" s="263" t="s">
        <v>855</v>
      </c>
      <c r="B6" s="263"/>
      <c r="C6" s="263"/>
      <c r="D6" s="263"/>
      <c r="E6" s="264"/>
      <c r="F6" s="264"/>
      <c r="G6" s="264"/>
    </row>
    <row r="7" spans="1:7" ht="15" customHeight="1">
      <c r="A7" s="218"/>
      <c r="B7" s="265"/>
      <c r="C7" s="265"/>
      <c r="D7" s="219"/>
      <c r="E7" s="219"/>
      <c r="G7" s="198"/>
    </row>
    <row r="8" spans="1:7" ht="23.25" customHeight="1">
      <c r="A8" s="259" t="s">
        <v>140</v>
      </c>
      <c r="B8" s="259" t="s">
        <v>336</v>
      </c>
      <c r="C8" s="259"/>
      <c r="D8" s="266" t="s">
        <v>496</v>
      </c>
      <c r="E8" s="266" t="s">
        <v>617</v>
      </c>
      <c r="F8" s="267" t="s">
        <v>856</v>
      </c>
      <c r="G8" s="259" t="s">
        <v>857</v>
      </c>
    </row>
    <row r="9" spans="1:7" ht="28.5" customHeight="1">
      <c r="A9" s="259"/>
      <c r="B9" s="259"/>
      <c r="C9" s="259"/>
      <c r="D9" s="266"/>
      <c r="E9" s="266"/>
      <c r="F9" s="267"/>
      <c r="G9" s="259"/>
    </row>
    <row r="10" spans="1:8" ht="17.25" customHeight="1">
      <c r="A10" s="3" t="s">
        <v>243</v>
      </c>
      <c r="B10" s="259" t="s">
        <v>244</v>
      </c>
      <c r="C10" s="259"/>
      <c r="D10" s="199">
        <f>D11+D13+D15+D20+D22+D30+D32+D34+D38+D39</f>
        <v>213214.3</v>
      </c>
      <c r="E10" s="199">
        <f>E11+E13+E15+E20+E22+E30+E32+E34+E38+E39</f>
        <v>214614.3</v>
      </c>
      <c r="F10" s="199">
        <f>F11+F13+F15+F20+F22+F30+F32+F34+F38+F39</f>
        <v>284981.5215</v>
      </c>
      <c r="G10" s="199">
        <f>G11+G13+G15+G20+G22+G30+G32+G34+G38+G39</f>
        <v>37784.1</v>
      </c>
      <c r="H10" s="220"/>
    </row>
    <row r="11" spans="1:8" ht="16.5" customHeight="1">
      <c r="A11" s="3" t="s">
        <v>245</v>
      </c>
      <c r="B11" s="259" t="s">
        <v>255</v>
      </c>
      <c r="C11" s="259"/>
      <c r="D11" s="199">
        <f>SUM(D12)</f>
        <v>178061</v>
      </c>
      <c r="E11" s="199">
        <f>SUM(E12)</f>
        <v>179342</v>
      </c>
      <c r="F11" s="199">
        <f>SUM(F12)</f>
        <v>214385</v>
      </c>
      <c r="G11" s="199">
        <f>SUM(G12)</f>
        <v>36324</v>
      </c>
      <c r="H11" s="221"/>
    </row>
    <row r="12" spans="1:8" ht="16.5" customHeight="1">
      <c r="A12" s="19" t="s">
        <v>392</v>
      </c>
      <c r="B12" s="268" t="s">
        <v>256</v>
      </c>
      <c r="C12" s="268"/>
      <c r="D12" s="201">
        <v>178061</v>
      </c>
      <c r="E12" s="201">
        <v>179342</v>
      </c>
      <c r="F12" s="99">
        <v>214385</v>
      </c>
      <c r="G12" s="99">
        <f>F12-D12</f>
        <v>36324</v>
      </c>
      <c r="H12" s="200"/>
    </row>
    <row r="13" spans="1:7" ht="35.25" customHeight="1">
      <c r="A13" s="3" t="s">
        <v>435</v>
      </c>
      <c r="B13" s="259" t="s">
        <v>436</v>
      </c>
      <c r="C13" s="259"/>
      <c r="D13" s="199">
        <f>SUM(D14)</f>
        <v>15464</v>
      </c>
      <c r="E13" s="199">
        <f>SUM(E14)</f>
        <v>15464</v>
      </c>
      <c r="F13" s="199">
        <f>SUM(F14)</f>
        <v>14000</v>
      </c>
      <c r="G13" s="199">
        <f>SUM(G14)</f>
        <v>-1464</v>
      </c>
    </row>
    <row r="14" spans="1:7" ht="30" customHeight="1">
      <c r="A14" s="19" t="s">
        <v>433</v>
      </c>
      <c r="B14" s="268" t="s">
        <v>434</v>
      </c>
      <c r="C14" s="268"/>
      <c r="D14" s="201">
        <v>15464</v>
      </c>
      <c r="E14" s="201">
        <v>15464</v>
      </c>
      <c r="F14" s="99">
        <v>14000</v>
      </c>
      <c r="G14" s="99">
        <f>F14-D14</f>
        <v>-1464</v>
      </c>
    </row>
    <row r="15" spans="1:7" ht="17.25" customHeight="1">
      <c r="A15" s="3" t="s">
        <v>257</v>
      </c>
      <c r="B15" s="259" t="s">
        <v>259</v>
      </c>
      <c r="C15" s="259"/>
      <c r="D15" s="199">
        <f>SUM(D16:D19)</f>
        <v>1576.4</v>
      </c>
      <c r="E15" s="199">
        <f>SUM(E16:E19)</f>
        <v>1603.4</v>
      </c>
      <c r="F15" s="199">
        <f>SUM(F16:F19)</f>
        <v>34663</v>
      </c>
      <c r="G15" s="199">
        <f>SUM(G16:G19)</f>
        <v>3885</v>
      </c>
    </row>
    <row r="16" spans="1:7" ht="31.5" customHeight="1">
      <c r="A16" s="19" t="s">
        <v>858</v>
      </c>
      <c r="B16" s="268" t="s">
        <v>618</v>
      </c>
      <c r="C16" s="268"/>
      <c r="D16" s="201">
        <v>293.4</v>
      </c>
      <c r="E16" s="201">
        <v>293.4</v>
      </c>
      <c r="F16" s="201">
        <f>17676+759.89+3174+6960.11+800</f>
        <v>29370</v>
      </c>
      <c r="G16" s="99">
        <v>0</v>
      </c>
    </row>
    <row r="17" spans="1:7" ht="27" customHeight="1">
      <c r="A17" s="19" t="s">
        <v>409</v>
      </c>
      <c r="B17" s="268" t="s">
        <v>260</v>
      </c>
      <c r="C17" s="268"/>
      <c r="D17" s="201">
        <v>0</v>
      </c>
      <c r="E17" s="201">
        <v>0</v>
      </c>
      <c r="F17" s="99">
        <v>125</v>
      </c>
      <c r="G17" s="99"/>
    </row>
    <row r="18" spans="1:7" ht="19.5" customHeight="1">
      <c r="A18" s="19" t="s">
        <v>410</v>
      </c>
      <c r="B18" s="268" t="s">
        <v>261</v>
      </c>
      <c r="C18" s="268"/>
      <c r="D18" s="201">
        <v>1213</v>
      </c>
      <c r="E18" s="201">
        <v>1240</v>
      </c>
      <c r="F18" s="99">
        <f>1505-725</f>
        <v>780</v>
      </c>
      <c r="G18" s="99">
        <f>F18-D18</f>
        <v>-433</v>
      </c>
    </row>
    <row r="19" spans="1:7" ht="35.25" customHeight="1">
      <c r="A19" s="19" t="s">
        <v>437</v>
      </c>
      <c r="B19" s="268" t="s">
        <v>438</v>
      </c>
      <c r="C19" s="268"/>
      <c r="D19" s="201">
        <v>70</v>
      </c>
      <c r="E19" s="201">
        <v>70</v>
      </c>
      <c r="F19" s="99">
        <f>3888+500</f>
        <v>4388</v>
      </c>
      <c r="G19" s="99">
        <f>F19-D19</f>
        <v>4318</v>
      </c>
    </row>
    <row r="20" spans="1:7" ht="16.5" customHeight="1">
      <c r="A20" s="3" t="s">
        <v>262</v>
      </c>
      <c r="B20" s="259" t="s">
        <v>263</v>
      </c>
      <c r="C20" s="259"/>
      <c r="D20" s="199">
        <f>SUM(D21:D21)</f>
        <v>3052</v>
      </c>
      <c r="E20" s="199">
        <f>SUM(E21:E21)</f>
        <v>3144</v>
      </c>
      <c r="F20" s="199">
        <f>SUM(F21:F21)</f>
        <v>3000</v>
      </c>
      <c r="G20" s="199">
        <f>SUM(G21:G21)</f>
        <v>52</v>
      </c>
    </row>
    <row r="21" spans="1:7" ht="48.75" customHeight="1">
      <c r="A21" s="19" t="s">
        <v>439</v>
      </c>
      <c r="B21" s="269" t="s">
        <v>16</v>
      </c>
      <c r="C21" s="269"/>
      <c r="D21" s="201">
        <v>3052</v>
      </c>
      <c r="E21" s="201">
        <v>3144</v>
      </c>
      <c r="F21" s="99">
        <f>2515+185+300</f>
        <v>3000</v>
      </c>
      <c r="G21" s="99">
        <f>D21-F21</f>
        <v>52</v>
      </c>
    </row>
    <row r="22" spans="1:7" ht="43.5" customHeight="1">
      <c r="A22" s="3" t="s">
        <v>264</v>
      </c>
      <c r="B22" s="259" t="s">
        <v>411</v>
      </c>
      <c r="C22" s="259"/>
      <c r="D22" s="199">
        <f>SUM(D23:D28)</f>
        <v>13196.900000000001</v>
      </c>
      <c r="E22" s="199">
        <f>SUM(E23:E28)</f>
        <v>13196.900000000001</v>
      </c>
      <c r="F22" s="199">
        <f>SUM(F23:F29)</f>
        <v>10543.2985</v>
      </c>
      <c r="G22" s="199">
        <f>SUM(G23:G28)</f>
        <v>-2659.8999999999996</v>
      </c>
    </row>
    <row r="23" spans="1:7" ht="83.25" customHeight="1">
      <c r="A23" s="19" t="s">
        <v>13</v>
      </c>
      <c r="B23" s="268" t="s">
        <v>475</v>
      </c>
      <c r="C23" s="268"/>
      <c r="D23" s="201">
        <v>2267.1</v>
      </c>
      <c r="E23" s="201">
        <v>2267.1</v>
      </c>
      <c r="F23" s="99">
        <f>282+1000</f>
        <v>1282</v>
      </c>
      <c r="G23" s="99">
        <f aca="true" t="shared" si="0" ref="G23:G28">F23-D23</f>
        <v>-985.0999999999999</v>
      </c>
    </row>
    <row r="24" spans="1:7" ht="68.25" customHeight="1" hidden="1">
      <c r="A24" s="19" t="s">
        <v>15</v>
      </c>
      <c r="B24" s="268" t="s">
        <v>859</v>
      </c>
      <c r="C24" s="268"/>
      <c r="D24" s="201">
        <v>0</v>
      </c>
      <c r="E24" s="201">
        <v>0</v>
      </c>
      <c r="F24" s="99"/>
      <c r="G24" s="99">
        <f t="shared" si="0"/>
        <v>0</v>
      </c>
    </row>
    <row r="25" spans="1:7" ht="69" customHeight="1">
      <c r="A25" s="19" t="s">
        <v>222</v>
      </c>
      <c r="B25" s="268" t="s">
        <v>860</v>
      </c>
      <c r="C25" s="268"/>
      <c r="D25" s="201">
        <v>7300</v>
      </c>
      <c r="E25" s="201">
        <v>7300</v>
      </c>
      <c r="F25" s="99">
        <f>1500+4500</f>
        <v>6000</v>
      </c>
      <c r="G25" s="99">
        <f t="shared" si="0"/>
        <v>-1300</v>
      </c>
    </row>
    <row r="26" spans="1:7" ht="69.75" customHeight="1">
      <c r="A26" s="19" t="s">
        <v>316</v>
      </c>
      <c r="B26" s="268" t="s">
        <v>235</v>
      </c>
      <c r="C26" s="268"/>
      <c r="D26" s="201">
        <v>116</v>
      </c>
      <c r="E26" s="201">
        <v>116</v>
      </c>
      <c r="F26" s="99">
        <v>303</v>
      </c>
      <c r="G26" s="99">
        <f t="shared" si="0"/>
        <v>187</v>
      </c>
    </row>
    <row r="27" spans="1:7" ht="66.75" customHeight="1">
      <c r="A27" s="19" t="s">
        <v>173</v>
      </c>
      <c r="B27" s="268" t="s">
        <v>414</v>
      </c>
      <c r="C27" s="268"/>
      <c r="D27" s="201">
        <v>3203.8</v>
      </c>
      <c r="E27" s="201">
        <v>3203.8</v>
      </c>
      <c r="F27" s="99">
        <v>103</v>
      </c>
      <c r="G27" s="99">
        <f t="shared" si="0"/>
        <v>-3100.8</v>
      </c>
    </row>
    <row r="28" spans="1:7" ht="41.25" customHeight="1">
      <c r="A28" s="19" t="s">
        <v>327</v>
      </c>
      <c r="B28" s="268" t="s">
        <v>328</v>
      </c>
      <c r="C28" s="268"/>
      <c r="D28" s="201">
        <v>310</v>
      </c>
      <c r="E28" s="201">
        <v>310</v>
      </c>
      <c r="F28" s="99">
        <v>2849</v>
      </c>
      <c r="G28" s="99">
        <f t="shared" si="0"/>
        <v>2539</v>
      </c>
    </row>
    <row r="29" spans="1:7" ht="147" customHeight="1">
      <c r="A29" s="19" t="s">
        <v>950</v>
      </c>
      <c r="B29" s="270" t="s">
        <v>951</v>
      </c>
      <c r="C29" s="271"/>
      <c r="D29" s="201"/>
      <c r="E29" s="201"/>
      <c r="F29" s="99">
        <f>5.8+0.4985</f>
        <v>6.2985</v>
      </c>
      <c r="G29" s="99"/>
    </row>
    <row r="30" spans="1:7" ht="30" customHeight="1">
      <c r="A30" s="3" t="s">
        <v>265</v>
      </c>
      <c r="B30" s="259" t="s">
        <v>266</v>
      </c>
      <c r="C30" s="259"/>
      <c r="D30" s="199">
        <f>SUM(D31)</f>
        <v>475</v>
      </c>
      <c r="E30" s="199">
        <f>SUM(E31)</f>
        <v>475</v>
      </c>
      <c r="F30" s="199">
        <f>SUM(F31)</f>
        <v>1070</v>
      </c>
      <c r="G30" s="199">
        <f>SUM(G31)</f>
        <v>595</v>
      </c>
    </row>
    <row r="31" spans="1:7" ht="17.25" customHeight="1">
      <c r="A31" s="19" t="s">
        <v>393</v>
      </c>
      <c r="B31" s="268" t="s">
        <v>267</v>
      </c>
      <c r="C31" s="268"/>
      <c r="D31" s="201">
        <v>475</v>
      </c>
      <c r="E31" s="201">
        <v>475</v>
      </c>
      <c r="F31" s="99">
        <f>1450-380</f>
        <v>1070</v>
      </c>
      <c r="G31" s="99">
        <f>F31-D31</f>
        <v>595</v>
      </c>
    </row>
    <row r="32" spans="1:7" ht="33" customHeight="1">
      <c r="A32" s="3" t="s">
        <v>268</v>
      </c>
      <c r="B32" s="259" t="s">
        <v>269</v>
      </c>
      <c r="C32" s="259"/>
      <c r="D32" s="199">
        <f>SUM(D33:D33)</f>
        <v>1139</v>
      </c>
      <c r="E32" s="199">
        <f>SUM(E33:E33)</f>
        <v>1139</v>
      </c>
      <c r="F32" s="199">
        <f>SUM(F33:F33)</f>
        <v>966</v>
      </c>
      <c r="G32" s="199">
        <f>SUM(G33:G33)</f>
        <v>-173</v>
      </c>
    </row>
    <row r="33" spans="1:7" ht="32.25" customHeight="1">
      <c r="A33" s="19" t="s">
        <v>416</v>
      </c>
      <c r="B33" s="268" t="s">
        <v>417</v>
      </c>
      <c r="C33" s="268"/>
      <c r="D33" s="201">
        <v>1139</v>
      </c>
      <c r="E33" s="201">
        <v>1139</v>
      </c>
      <c r="F33" s="99">
        <f>186+780</f>
        <v>966</v>
      </c>
      <c r="G33" s="99">
        <f>F33-D33</f>
        <v>-173</v>
      </c>
    </row>
    <row r="34" spans="1:9" ht="36" customHeight="1">
      <c r="A34" s="3" t="s">
        <v>270</v>
      </c>
      <c r="B34" s="259" t="s">
        <v>271</v>
      </c>
      <c r="C34" s="259"/>
      <c r="D34" s="199">
        <f>SUM(D35:D36)</f>
        <v>250</v>
      </c>
      <c r="E34" s="199">
        <f>SUM(E35:E36)</f>
        <v>250</v>
      </c>
      <c r="F34" s="199">
        <f>F35+F36+F37</f>
        <v>4549.085</v>
      </c>
      <c r="G34" s="199">
        <f>SUM(G35:G36)</f>
        <v>-150</v>
      </c>
      <c r="H34" s="221"/>
      <c r="I34" s="211"/>
    </row>
    <row r="35" spans="1:9" ht="83.25" customHeight="1">
      <c r="A35" s="19" t="s">
        <v>418</v>
      </c>
      <c r="B35" s="268" t="s">
        <v>429</v>
      </c>
      <c r="C35" s="268"/>
      <c r="D35" s="201">
        <v>0</v>
      </c>
      <c r="E35" s="201">
        <v>0</v>
      </c>
      <c r="F35" s="99">
        <f>3308-897.267+1266</f>
        <v>3676.733</v>
      </c>
      <c r="G35" s="99"/>
      <c r="I35" s="211"/>
    </row>
    <row r="36" spans="1:7" ht="51.75" customHeight="1">
      <c r="A36" s="19" t="s">
        <v>486</v>
      </c>
      <c r="B36" s="268" t="s">
        <v>487</v>
      </c>
      <c r="C36" s="268"/>
      <c r="D36" s="201">
        <v>250</v>
      </c>
      <c r="E36" s="201">
        <v>250</v>
      </c>
      <c r="F36" s="99">
        <v>400</v>
      </c>
      <c r="G36" s="99">
        <f>D36-F36</f>
        <v>-150</v>
      </c>
    </row>
    <row r="37" spans="1:9" ht="51.75" customHeight="1">
      <c r="A37" s="19" t="s">
        <v>948</v>
      </c>
      <c r="B37" s="268" t="s">
        <v>949</v>
      </c>
      <c r="C37" s="268"/>
      <c r="D37" s="201"/>
      <c r="E37" s="201"/>
      <c r="F37" s="99">
        <f>10.752+228+233.6</f>
        <v>472.352</v>
      </c>
      <c r="G37" s="99"/>
      <c r="I37" s="211"/>
    </row>
    <row r="38" spans="1:7" ht="18.75" customHeight="1">
      <c r="A38" s="3" t="s">
        <v>272</v>
      </c>
      <c r="B38" s="259" t="s">
        <v>273</v>
      </c>
      <c r="C38" s="259"/>
      <c r="D38" s="199">
        <v>0</v>
      </c>
      <c r="E38" s="199">
        <v>0</v>
      </c>
      <c r="F38" s="203">
        <f>1100+125+150</f>
        <v>1375</v>
      </c>
      <c r="G38" s="99">
        <f>F38-D38</f>
        <v>1375</v>
      </c>
    </row>
    <row r="39" spans="1:7" ht="18.75" customHeight="1">
      <c r="A39" s="3" t="s">
        <v>317</v>
      </c>
      <c r="B39" s="259" t="s">
        <v>318</v>
      </c>
      <c r="C39" s="259"/>
      <c r="D39" s="199">
        <f>SUM(D40)</f>
        <v>0</v>
      </c>
      <c r="E39" s="199">
        <f>SUM(E40)</f>
        <v>0</v>
      </c>
      <c r="F39" s="199">
        <f>SUM(F40)</f>
        <v>430.13800000000003</v>
      </c>
      <c r="G39" s="199">
        <f>SUM(G40)</f>
        <v>0</v>
      </c>
    </row>
    <row r="40" spans="1:9" ht="18.75" customHeight="1">
      <c r="A40" s="19" t="s">
        <v>320</v>
      </c>
      <c r="B40" s="268" t="s">
        <v>322</v>
      </c>
      <c r="C40" s="268"/>
      <c r="D40" s="201">
        <v>0</v>
      </c>
      <c r="E40" s="201">
        <v>0</v>
      </c>
      <c r="F40" s="201">
        <f>300+130.138</f>
        <v>430.13800000000003</v>
      </c>
      <c r="G40" s="201">
        <v>0</v>
      </c>
      <c r="I40" s="211"/>
    </row>
    <row r="41" spans="1:10" ht="18.75" customHeight="1">
      <c r="A41" s="3" t="s">
        <v>274</v>
      </c>
      <c r="B41" s="259" t="s">
        <v>625</v>
      </c>
      <c r="C41" s="259"/>
      <c r="D41" s="199" t="e">
        <f>D42</f>
        <v>#REF!</v>
      </c>
      <c r="E41" s="199" t="e">
        <f>E42</f>
        <v>#REF!</v>
      </c>
      <c r="F41" s="199">
        <f>F42</f>
        <v>403422.05058000004</v>
      </c>
      <c r="G41" s="199" t="e">
        <f>G42</f>
        <v>#REF!</v>
      </c>
      <c r="H41" s="221"/>
      <c r="I41" s="222"/>
      <c r="J41" s="211"/>
    </row>
    <row r="42" spans="1:9" ht="34.5" customHeight="1">
      <c r="A42" s="19" t="s">
        <v>275</v>
      </c>
      <c r="B42" s="268" t="s">
        <v>626</v>
      </c>
      <c r="C42" s="268"/>
      <c r="D42" s="199" t="e">
        <f>D43+D47+D57+#REF!</f>
        <v>#REF!</v>
      </c>
      <c r="E42" s="199" t="e">
        <f>E43+E47+E57+#REF!</f>
        <v>#REF!</v>
      </c>
      <c r="F42" s="199">
        <f>F43+F47+F57+F87</f>
        <v>403422.05058000004</v>
      </c>
      <c r="G42" s="199" t="e">
        <f>G43+G47+#REF!+G80</f>
        <v>#REF!</v>
      </c>
      <c r="H42" s="221"/>
      <c r="I42" s="211"/>
    </row>
    <row r="43" spans="1:9" ht="33" customHeight="1">
      <c r="A43" s="3" t="s">
        <v>609</v>
      </c>
      <c r="B43" s="259" t="s">
        <v>278</v>
      </c>
      <c r="C43" s="259"/>
      <c r="D43" s="199">
        <f>D44+D45</f>
        <v>0</v>
      </c>
      <c r="E43" s="199">
        <f>E44+E45</f>
        <v>0</v>
      </c>
      <c r="F43" s="203">
        <f>F44+F45+F46</f>
        <v>53195.26915</v>
      </c>
      <c r="G43" s="99"/>
      <c r="H43" s="221"/>
      <c r="I43" s="211"/>
    </row>
    <row r="44" spans="1:9" ht="33" customHeight="1">
      <c r="A44" s="19" t="s">
        <v>623</v>
      </c>
      <c r="B44" s="268" t="s">
        <v>174</v>
      </c>
      <c r="C44" s="268"/>
      <c r="D44" s="201"/>
      <c r="E44" s="201"/>
      <c r="F44" s="99">
        <v>24435.143</v>
      </c>
      <c r="G44" s="99"/>
      <c r="I44" s="211"/>
    </row>
    <row r="45" spans="1:9" ht="33" customHeight="1">
      <c r="A45" s="19" t="s">
        <v>524</v>
      </c>
      <c r="B45" s="268" t="s">
        <v>331</v>
      </c>
      <c r="C45" s="268"/>
      <c r="D45" s="201"/>
      <c r="E45" s="201"/>
      <c r="F45" s="99">
        <f>11157+1889.6+12767.88</f>
        <v>25814.48</v>
      </c>
      <c r="G45" s="99"/>
      <c r="I45" s="211"/>
    </row>
    <row r="46" spans="1:9" ht="27" customHeight="1">
      <c r="A46" s="19" t="s">
        <v>993</v>
      </c>
      <c r="B46" s="268" t="s">
        <v>994</v>
      </c>
      <c r="C46" s="268"/>
      <c r="D46" s="201"/>
      <c r="E46" s="201"/>
      <c r="F46" s="99">
        <f>2945.64615</f>
        <v>2945.64615</v>
      </c>
      <c r="G46" s="99"/>
      <c r="I46" s="211"/>
    </row>
    <row r="47" spans="1:9" ht="33" customHeight="1">
      <c r="A47" s="3" t="s">
        <v>861</v>
      </c>
      <c r="B47" s="259" t="s">
        <v>258</v>
      </c>
      <c r="C47" s="259"/>
      <c r="D47" s="199" t="e">
        <f>D50+#REF!</f>
        <v>#REF!</v>
      </c>
      <c r="E47" s="199" t="e">
        <f>E50+#REF!</f>
        <v>#REF!</v>
      </c>
      <c r="F47" s="203">
        <f>F48+F49+F50</f>
        <v>38286.031769999994</v>
      </c>
      <c r="G47" s="99"/>
      <c r="H47" s="221"/>
      <c r="I47" s="211"/>
    </row>
    <row r="48" spans="1:9" ht="45" customHeight="1">
      <c r="A48" s="19" t="s">
        <v>921</v>
      </c>
      <c r="B48" s="268" t="s">
        <v>863</v>
      </c>
      <c r="C48" s="268"/>
      <c r="D48" s="201"/>
      <c r="E48" s="201"/>
      <c r="F48" s="99">
        <v>2841.80272</v>
      </c>
      <c r="G48" s="99"/>
      <c r="H48" s="221"/>
      <c r="I48" s="211"/>
    </row>
    <row r="49" spans="1:9" ht="63" customHeight="1">
      <c r="A49" s="19" t="s">
        <v>936</v>
      </c>
      <c r="B49" s="268" t="s">
        <v>937</v>
      </c>
      <c r="C49" s="268"/>
      <c r="D49" s="201"/>
      <c r="E49" s="201"/>
      <c r="F49" s="99">
        <v>102.04081</v>
      </c>
      <c r="G49" s="99"/>
      <c r="H49" s="221"/>
      <c r="I49" s="211"/>
    </row>
    <row r="50" spans="1:9" ht="33" customHeight="1">
      <c r="A50" s="205" t="s">
        <v>610</v>
      </c>
      <c r="B50" s="273" t="s">
        <v>332</v>
      </c>
      <c r="C50" s="273"/>
      <c r="D50" s="206">
        <f>D54</f>
        <v>0</v>
      </c>
      <c r="E50" s="206">
        <f>E54</f>
        <v>0</v>
      </c>
      <c r="F50" s="207">
        <f>F51+F52+F53+F54+F55+F56</f>
        <v>35342.188239999996</v>
      </c>
      <c r="G50" s="99"/>
      <c r="H50" s="221"/>
      <c r="I50" s="211"/>
    </row>
    <row r="51" spans="1:9" ht="39.75" customHeight="1">
      <c r="A51" s="19" t="s">
        <v>610</v>
      </c>
      <c r="B51" s="268" t="s">
        <v>719</v>
      </c>
      <c r="C51" s="268"/>
      <c r="D51" s="201"/>
      <c r="E51" s="201"/>
      <c r="F51" s="99">
        <f>70.291+73.2542</f>
        <v>143.5452</v>
      </c>
      <c r="G51" s="99"/>
      <c r="I51" s="211"/>
    </row>
    <row r="52" spans="1:9" ht="52.5" customHeight="1">
      <c r="A52" s="19" t="s">
        <v>610</v>
      </c>
      <c r="B52" s="268" t="s">
        <v>862</v>
      </c>
      <c r="C52" s="268"/>
      <c r="D52" s="201"/>
      <c r="E52" s="201"/>
      <c r="F52" s="99">
        <f>11729.4507-1794.60596-542.99205</f>
        <v>9391.852689999998</v>
      </c>
      <c r="G52" s="99"/>
      <c r="I52" s="211"/>
    </row>
    <row r="53" spans="1:9" ht="51.75" customHeight="1">
      <c r="A53" s="19" t="s">
        <v>610</v>
      </c>
      <c r="B53" s="268" t="s">
        <v>864</v>
      </c>
      <c r="C53" s="268"/>
      <c r="D53" s="201"/>
      <c r="E53" s="201"/>
      <c r="F53" s="99">
        <v>346.5</v>
      </c>
      <c r="G53" s="99">
        <f>F60-D60</f>
        <v>178.63200000000006</v>
      </c>
      <c r="I53" s="211"/>
    </row>
    <row r="54" spans="1:9" ht="48.75" customHeight="1">
      <c r="A54" s="19" t="s">
        <v>610</v>
      </c>
      <c r="B54" s="268" t="s">
        <v>839</v>
      </c>
      <c r="C54" s="268"/>
      <c r="D54" s="201"/>
      <c r="E54" s="201"/>
      <c r="F54" s="99">
        <v>2473.58232</v>
      </c>
      <c r="G54" s="99">
        <f>F62-D62</f>
        <v>155.623</v>
      </c>
      <c r="H54" s="221"/>
      <c r="I54" s="211"/>
    </row>
    <row r="55" spans="1:9" ht="48.75" customHeight="1">
      <c r="A55" s="19" t="s">
        <v>610</v>
      </c>
      <c r="B55" s="258" t="s">
        <v>887</v>
      </c>
      <c r="C55" s="258"/>
      <c r="D55" s="201"/>
      <c r="E55" s="201"/>
      <c r="F55" s="99">
        <v>20000</v>
      </c>
      <c r="G55" s="99"/>
      <c r="H55" s="221"/>
      <c r="I55" s="211"/>
    </row>
    <row r="56" spans="1:9" ht="48.75" customHeight="1">
      <c r="A56" s="19" t="s">
        <v>610</v>
      </c>
      <c r="B56" s="272" t="s">
        <v>917</v>
      </c>
      <c r="C56" s="271"/>
      <c r="D56" s="201"/>
      <c r="E56" s="201"/>
      <c r="F56" s="99">
        <f>3000-13.29197</f>
        <v>2986.70803</v>
      </c>
      <c r="G56" s="99"/>
      <c r="H56" s="221"/>
      <c r="I56" s="211"/>
    </row>
    <row r="57" spans="1:9" ht="31.5" customHeight="1">
      <c r="A57" s="3" t="s">
        <v>523</v>
      </c>
      <c r="B57" s="259" t="s">
        <v>388</v>
      </c>
      <c r="C57" s="259"/>
      <c r="D57" s="199" t="e">
        <f>D60+#REF!+D62+D67+D84</f>
        <v>#REF!</v>
      </c>
      <c r="E57" s="199" t="e">
        <f>E60+#REF!+E62+E67+E84</f>
        <v>#REF!</v>
      </c>
      <c r="F57" s="199">
        <f>F58+F59+F60+F61+F62+F63+F64+F67+F85</f>
        <v>289507.86666000006</v>
      </c>
      <c r="G57" s="204" t="e">
        <f>G58+G60+G61+G65+G67+G68+G69+#REF!+G73+G74+G76+G78+G59+G66+G70+G77</f>
        <v>#REF!</v>
      </c>
      <c r="H57" s="221"/>
      <c r="I57" s="211"/>
    </row>
    <row r="58" spans="1:9" ht="60" customHeight="1">
      <c r="A58" s="19" t="s">
        <v>722</v>
      </c>
      <c r="B58" s="268" t="s">
        <v>723</v>
      </c>
      <c r="C58" s="268"/>
      <c r="D58" s="201">
        <v>13848.602</v>
      </c>
      <c r="E58" s="201">
        <v>13848.602</v>
      </c>
      <c r="F58" s="99">
        <v>10900.4</v>
      </c>
      <c r="G58" s="99">
        <f>F68-D68</f>
        <v>16247.14499999999</v>
      </c>
      <c r="I58" s="211"/>
    </row>
    <row r="59" spans="1:9" ht="72" customHeight="1">
      <c r="A59" s="19" t="s">
        <v>614</v>
      </c>
      <c r="B59" s="268" t="s">
        <v>315</v>
      </c>
      <c r="C59" s="268"/>
      <c r="D59" s="201">
        <v>4647.323</v>
      </c>
      <c r="E59" s="201">
        <v>6035.259</v>
      </c>
      <c r="F59" s="201">
        <f>5493.033-1000</f>
        <v>4493.033</v>
      </c>
      <c r="G59" s="99">
        <f>F69-D69</f>
        <v>-1543.622</v>
      </c>
      <c r="I59" s="211"/>
    </row>
    <row r="60" spans="1:9" ht="33" customHeight="1">
      <c r="A60" s="19" t="s">
        <v>522</v>
      </c>
      <c r="B60" s="268" t="s">
        <v>865</v>
      </c>
      <c r="C60" s="268"/>
      <c r="D60" s="201">
        <v>1331</v>
      </c>
      <c r="E60" s="201">
        <v>1331</v>
      </c>
      <c r="F60" s="99">
        <f>1442.603+61.365+5.664</f>
        <v>1509.632</v>
      </c>
      <c r="G60" s="99">
        <f>F58-D58</f>
        <v>-2948.202000000001</v>
      </c>
      <c r="H60" s="99"/>
      <c r="I60" s="211"/>
    </row>
    <row r="61" spans="1:9" ht="50.25" customHeight="1" hidden="1">
      <c r="A61" s="19" t="s">
        <v>664</v>
      </c>
      <c r="B61" s="268" t="s">
        <v>731</v>
      </c>
      <c r="C61" s="268"/>
      <c r="D61" s="99">
        <v>520.869</v>
      </c>
      <c r="E61" s="99">
        <v>530.28251</v>
      </c>
      <c r="F61" s="99">
        <f>191.38937-191.38937</f>
        <v>0</v>
      </c>
      <c r="G61" s="99">
        <f>F70-D70</f>
        <v>-1157.09</v>
      </c>
      <c r="I61" s="211"/>
    </row>
    <row r="62" spans="1:9" ht="34.5" customHeight="1">
      <c r="A62" s="19" t="s">
        <v>525</v>
      </c>
      <c r="B62" s="268" t="s">
        <v>866</v>
      </c>
      <c r="C62" s="268"/>
      <c r="D62" s="201">
        <v>18.268</v>
      </c>
      <c r="E62" s="201">
        <v>17.437</v>
      </c>
      <c r="F62" s="99">
        <v>173.891</v>
      </c>
      <c r="G62" s="115"/>
      <c r="H62" s="99"/>
      <c r="I62" s="211"/>
    </row>
    <row r="63" spans="1:9" ht="60" customHeight="1">
      <c r="A63" s="19" t="s">
        <v>925</v>
      </c>
      <c r="B63" s="270" t="s">
        <v>927</v>
      </c>
      <c r="C63" s="275"/>
      <c r="D63" s="201"/>
      <c r="E63" s="201"/>
      <c r="F63" s="99">
        <f>9728.74263+4302.72-1362.34263-164.9376</f>
        <v>12504.182400000003</v>
      </c>
      <c r="G63" s="115"/>
      <c r="H63" s="209"/>
      <c r="I63" s="211"/>
    </row>
    <row r="64" spans="1:9" ht="34.5" customHeight="1">
      <c r="A64" s="205" t="s">
        <v>773</v>
      </c>
      <c r="B64" s="273" t="s">
        <v>774</v>
      </c>
      <c r="C64" s="273"/>
      <c r="D64" s="206" t="e">
        <f>D84+#REF!</f>
        <v>#REF!</v>
      </c>
      <c r="E64" s="206" t="e">
        <f>E84+#REF!</f>
        <v>#REF!</v>
      </c>
      <c r="F64" s="207">
        <f>F65+F66</f>
        <v>2060.09</v>
      </c>
      <c r="G64" s="115"/>
      <c r="H64" s="25"/>
      <c r="I64" s="211"/>
    </row>
    <row r="65" spans="1:9" ht="54" customHeight="1">
      <c r="A65" s="208" t="s">
        <v>773</v>
      </c>
      <c r="B65" s="274" t="s">
        <v>428</v>
      </c>
      <c r="C65" s="274"/>
      <c r="D65" s="204"/>
      <c r="E65" s="204"/>
      <c r="F65" s="115">
        <v>803.815</v>
      </c>
      <c r="G65" s="99">
        <f>F71-D71</f>
        <v>-4629.176999999996</v>
      </c>
      <c r="I65" s="211"/>
    </row>
    <row r="66" spans="1:9" ht="66" customHeight="1">
      <c r="A66" s="208" t="s">
        <v>773</v>
      </c>
      <c r="B66" s="274" t="s">
        <v>306</v>
      </c>
      <c r="C66" s="274"/>
      <c r="D66" s="204"/>
      <c r="E66" s="204"/>
      <c r="F66" s="115">
        <v>1256.275</v>
      </c>
      <c r="G66" s="99" t="e">
        <f>#REF!-#REF!</f>
        <v>#REF!</v>
      </c>
      <c r="H66" s="221"/>
      <c r="I66" s="211"/>
    </row>
    <row r="67" spans="1:9" ht="32.25" customHeight="1">
      <c r="A67" s="205" t="s">
        <v>526</v>
      </c>
      <c r="B67" s="273" t="s">
        <v>242</v>
      </c>
      <c r="C67" s="273"/>
      <c r="D67" s="206" t="e">
        <f>D68+D58+D70+D71+D73+D74+D75+D80+D81+D83+D69+#REF!+D76+D82</f>
        <v>#REF!</v>
      </c>
      <c r="E67" s="206" t="e">
        <f>E68+E58+E70+E71+E73+E74+E75+E80+E81+E83+E69+#REF!+E76+E82</f>
        <v>#REF!</v>
      </c>
      <c r="F67" s="206">
        <f>F68+F69+F71+F72+F73+F74+F76+F77+F79+F80+F81+F82+F83+F84</f>
        <v>257513.05926000004</v>
      </c>
      <c r="G67" s="99">
        <f>F73-D73</f>
        <v>-1149.9367</v>
      </c>
      <c r="I67" s="211"/>
    </row>
    <row r="68" spans="1:9" ht="62.25" customHeight="1">
      <c r="A68" s="19" t="s">
        <v>526</v>
      </c>
      <c r="B68" s="268" t="s">
        <v>423</v>
      </c>
      <c r="C68" s="268"/>
      <c r="D68" s="201">
        <v>156357.937</v>
      </c>
      <c r="E68" s="201">
        <v>156357.937</v>
      </c>
      <c r="F68" s="99">
        <f>166876.77+5728.312</f>
        <v>172605.082</v>
      </c>
      <c r="G68" s="99">
        <f>F74-D74</f>
        <v>62.434999999999945</v>
      </c>
      <c r="I68" s="211"/>
    </row>
    <row r="69" spans="1:9" ht="66" customHeight="1">
      <c r="A69" s="19" t="s">
        <v>612</v>
      </c>
      <c r="B69" s="268" t="s">
        <v>613</v>
      </c>
      <c r="C69" s="268"/>
      <c r="D69" s="201">
        <v>2375</v>
      </c>
      <c r="E69" s="201">
        <v>2375</v>
      </c>
      <c r="F69" s="99">
        <f>1130-298.622</f>
        <v>831.3779999999999</v>
      </c>
      <c r="G69" s="99">
        <f>F75-D75</f>
        <v>-740.504</v>
      </c>
      <c r="I69" s="211"/>
    </row>
    <row r="70" spans="1:9" ht="44.25" customHeight="1" hidden="1">
      <c r="A70" s="19" t="s">
        <v>526</v>
      </c>
      <c r="B70" s="268" t="s">
        <v>867</v>
      </c>
      <c r="C70" s="268"/>
      <c r="D70" s="201">
        <v>1157.09</v>
      </c>
      <c r="E70" s="201">
        <v>1157.09</v>
      </c>
      <c r="F70" s="99"/>
      <c r="G70" s="99">
        <f>F76-D76</f>
        <v>146.13100000000009</v>
      </c>
      <c r="I70" s="211"/>
    </row>
    <row r="71" spans="1:9" ht="64.5" customHeight="1">
      <c r="A71" s="19" t="s">
        <v>526</v>
      </c>
      <c r="B71" s="268" t="s">
        <v>424</v>
      </c>
      <c r="C71" s="268"/>
      <c r="D71" s="201">
        <v>48045.528</v>
      </c>
      <c r="E71" s="201">
        <v>48045.528</v>
      </c>
      <c r="F71" s="99">
        <f>41476.941+1939.41</f>
        <v>43416.351</v>
      </c>
      <c r="G71" s="99"/>
      <c r="I71" s="211"/>
    </row>
    <row r="72" spans="1:9" ht="66.75" customHeight="1">
      <c r="A72" s="19" t="s">
        <v>526</v>
      </c>
      <c r="B72" s="270" t="s">
        <v>926</v>
      </c>
      <c r="C72" s="275"/>
      <c r="D72" s="201"/>
      <c r="E72" s="201"/>
      <c r="F72" s="99">
        <f>3972.98895+172.1088-318.5975</f>
        <v>3826.50025</v>
      </c>
      <c r="G72" s="99"/>
      <c r="H72" s="209"/>
      <c r="I72" s="221"/>
    </row>
    <row r="73" spans="1:9" ht="60.75" customHeight="1">
      <c r="A73" s="19" t="s">
        <v>526</v>
      </c>
      <c r="B73" s="268" t="s">
        <v>868</v>
      </c>
      <c r="C73" s="268"/>
      <c r="D73" s="201">
        <v>3064.058</v>
      </c>
      <c r="E73" s="201">
        <v>3064.058</v>
      </c>
      <c r="F73" s="99">
        <v>1914.1213</v>
      </c>
      <c r="G73" s="99">
        <f>F78-D78</f>
        <v>0</v>
      </c>
      <c r="I73" s="211"/>
    </row>
    <row r="74" spans="1:9" ht="54" customHeight="1">
      <c r="A74" s="19" t="s">
        <v>526</v>
      </c>
      <c r="B74" s="268" t="s">
        <v>427</v>
      </c>
      <c r="C74" s="268"/>
      <c r="D74" s="201">
        <v>768.474</v>
      </c>
      <c r="E74" s="201">
        <v>768.474</v>
      </c>
      <c r="F74" s="99">
        <v>830.909</v>
      </c>
      <c r="G74" s="99">
        <f>F80-D80</f>
        <v>-401.021999999999</v>
      </c>
      <c r="I74" s="211"/>
    </row>
    <row r="75" spans="1:9" ht="44.25" customHeight="1" hidden="1">
      <c r="A75" s="19" t="s">
        <v>526</v>
      </c>
      <c r="B75" s="268" t="s">
        <v>428</v>
      </c>
      <c r="C75" s="268"/>
      <c r="D75" s="201">
        <v>740.504</v>
      </c>
      <c r="E75" s="201">
        <v>740.504</v>
      </c>
      <c r="F75" s="99"/>
      <c r="G75" s="99" t="e">
        <f>#REF!-#REF!</f>
        <v>#REF!</v>
      </c>
      <c r="I75" s="211"/>
    </row>
    <row r="76" spans="1:9" ht="52.5" customHeight="1">
      <c r="A76" s="19" t="s">
        <v>612</v>
      </c>
      <c r="B76" s="268" t="s">
        <v>869</v>
      </c>
      <c r="C76" s="268"/>
      <c r="D76" s="201">
        <v>1804.088</v>
      </c>
      <c r="E76" s="201">
        <v>1804.088</v>
      </c>
      <c r="F76" s="99">
        <v>1950.219</v>
      </c>
      <c r="G76" s="99">
        <f>F81-D81</f>
        <v>-0.4110900000000002</v>
      </c>
      <c r="I76" s="211"/>
    </row>
    <row r="77" spans="1:9" ht="63.75" customHeight="1">
      <c r="A77" s="19" t="s">
        <v>612</v>
      </c>
      <c r="B77" s="268" t="s">
        <v>638</v>
      </c>
      <c r="C77" s="268"/>
      <c r="D77" s="201">
        <v>0</v>
      </c>
      <c r="E77" s="201">
        <v>0</v>
      </c>
      <c r="F77" s="99">
        <f>12241.28906+240.04467-1218.90132</f>
        <v>11262.432409999998</v>
      </c>
      <c r="G77" s="99">
        <f>F82-D82</f>
        <v>0.16408000000000023</v>
      </c>
      <c r="I77" s="211"/>
    </row>
    <row r="78" spans="1:9" ht="44.25" customHeight="1" hidden="1">
      <c r="A78" s="19" t="s">
        <v>612</v>
      </c>
      <c r="B78" s="268" t="s">
        <v>870</v>
      </c>
      <c r="C78" s="268"/>
      <c r="D78" s="201">
        <v>0</v>
      </c>
      <c r="E78" s="201">
        <v>0</v>
      </c>
      <c r="F78" s="99"/>
      <c r="G78" s="99">
        <f>F83-D83</f>
        <v>628.2980699999999</v>
      </c>
      <c r="I78" s="211"/>
    </row>
    <row r="79" spans="1:9" ht="61.5" customHeight="1">
      <c r="A79" s="19" t="s">
        <v>526</v>
      </c>
      <c r="B79" s="268" t="s">
        <v>611</v>
      </c>
      <c r="C79" s="268"/>
      <c r="D79" s="201">
        <f>13848.602</f>
        <v>13848.602</v>
      </c>
      <c r="E79" s="201">
        <v>7270.9</v>
      </c>
      <c r="F79" s="99">
        <f>7825.95+1000</f>
        <v>8825.95</v>
      </c>
      <c r="G79" s="99">
        <f>F84-D84</f>
        <v>-4647.323</v>
      </c>
      <c r="I79" s="211"/>
    </row>
    <row r="80" spans="1:9" ht="44.25" customHeight="1">
      <c r="A80" s="19" t="s">
        <v>526</v>
      </c>
      <c r="B80" s="268" t="s">
        <v>871</v>
      </c>
      <c r="C80" s="268"/>
      <c r="D80" s="201">
        <v>11501.934</v>
      </c>
      <c r="E80" s="201">
        <v>11501.934</v>
      </c>
      <c r="F80" s="99">
        <v>11100.912</v>
      </c>
      <c r="G80" s="199" t="e">
        <f>G81</f>
        <v>#REF!</v>
      </c>
      <c r="I80" s="211"/>
    </row>
    <row r="81" spans="1:9" ht="50.25" customHeight="1">
      <c r="A81" s="19" t="s">
        <v>526</v>
      </c>
      <c r="B81" s="268" t="s">
        <v>872</v>
      </c>
      <c r="C81" s="268"/>
      <c r="D81" s="201">
        <v>1.69524</v>
      </c>
      <c r="E81" s="201">
        <v>1.69524</v>
      </c>
      <c r="F81" s="99">
        <v>1.28415</v>
      </c>
      <c r="G81" s="99" t="e">
        <f>#REF!-#REF!</f>
        <v>#REF!</v>
      </c>
      <c r="I81" s="211"/>
    </row>
    <row r="82" spans="1:9" ht="62.25" customHeight="1">
      <c r="A82" s="19" t="s">
        <v>526</v>
      </c>
      <c r="B82" s="268" t="s">
        <v>539</v>
      </c>
      <c r="C82" s="268"/>
      <c r="D82" s="201">
        <v>3.223</v>
      </c>
      <c r="E82" s="201">
        <v>3.223</v>
      </c>
      <c r="F82" s="99">
        <v>3.38708</v>
      </c>
      <c r="G82" s="99"/>
      <c r="I82" s="222"/>
    </row>
    <row r="83" spans="1:7" ht="65.25" customHeight="1">
      <c r="A83" s="19" t="s">
        <v>526</v>
      </c>
      <c r="B83" s="268" t="s">
        <v>873</v>
      </c>
      <c r="C83" s="268"/>
      <c r="D83" s="201">
        <v>316.235</v>
      </c>
      <c r="E83" s="201">
        <v>316.235</v>
      </c>
      <c r="F83" s="99">
        <f>265.91093+678.62214</f>
        <v>944.53307</v>
      </c>
      <c r="G83" s="99"/>
    </row>
    <row r="84" spans="1:8" ht="142.5" customHeight="1" hidden="1">
      <c r="A84" s="19" t="s">
        <v>526</v>
      </c>
      <c r="B84" s="268" t="s">
        <v>825</v>
      </c>
      <c r="C84" s="268"/>
      <c r="D84" s="201">
        <v>4647.323</v>
      </c>
      <c r="E84" s="201">
        <v>89.342</v>
      </c>
      <c r="F84" s="99">
        <f>133.61-133.61</f>
        <v>0</v>
      </c>
      <c r="G84" s="99"/>
      <c r="H84" s="221"/>
    </row>
    <row r="85" spans="1:8" ht="20.25" customHeight="1">
      <c r="A85" s="205" t="s">
        <v>814</v>
      </c>
      <c r="B85" s="273" t="s">
        <v>815</v>
      </c>
      <c r="C85" s="273"/>
      <c r="D85" s="206"/>
      <c r="E85" s="206"/>
      <c r="F85" s="207">
        <f>F86</f>
        <v>353.579</v>
      </c>
      <c r="G85" s="99"/>
      <c r="H85" s="221"/>
    </row>
    <row r="86" spans="1:256" ht="63" customHeight="1">
      <c r="A86" s="19" t="s">
        <v>814</v>
      </c>
      <c r="B86" s="268" t="s">
        <v>874</v>
      </c>
      <c r="C86" s="268"/>
      <c r="D86" s="201"/>
      <c r="E86" s="201">
        <v>272.232</v>
      </c>
      <c r="F86" s="99">
        <v>353.579</v>
      </c>
      <c r="G86" s="199" t="e">
        <f>G10+G41</f>
        <v>#REF!</v>
      </c>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212"/>
      <c r="EM86" s="212"/>
      <c r="EN86" s="212"/>
      <c r="EO86" s="212"/>
      <c r="EP86" s="212"/>
      <c r="EQ86" s="212"/>
      <c r="ER86" s="212"/>
      <c r="ES86" s="212"/>
      <c r="ET86" s="212"/>
      <c r="EU86" s="212"/>
      <c r="EV86" s="212"/>
      <c r="EW86" s="212"/>
      <c r="EX86" s="212"/>
      <c r="EY86" s="212"/>
      <c r="EZ86" s="212"/>
      <c r="FA86" s="212"/>
      <c r="FB86" s="212"/>
      <c r="FC86" s="212"/>
      <c r="FD86" s="212"/>
      <c r="FE86" s="212"/>
      <c r="FF86" s="212"/>
      <c r="FG86" s="212"/>
      <c r="FH86" s="212"/>
      <c r="FI86" s="212"/>
      <c r="FJ86" s="212"/>
      <c r="FK86" s="212"/>
      <c r="FL86" s="212"/>
      <c r="FM86" s="212"/>
      <c r="FN86" s="212"/>
      <c r="FO86" s="212"/>
      <c r="FP86" s="212"/>
      <c r="FQ86" s="212"/>
      <c r="FR86" s="212"/>
      <c r="FS86" s="212"/>
      <c r="FT86" s="212"/>
      <c r="FU86" s="212"/>
      <c r="FV86" s="212"/>
      <c r="FW86" s="212"/>
      <c r="FX86" s="212"/>
      <c r="FY86" s="212"/>
      <c r="FZ86" s="212"/>
      <c r="GA86" s="212"/>
      <c r="GB86" s="212"/>
      <c r="GC86" s="212"/>
      <c r="GD86" s="212"/>
      <c r="GE86" s="212"/>
      <c r="GF86" s="212"/>
      <c r="GG86" s="212"/>
      <c r="GH86" s="212"/>
      <c r="GI86" s="212"/>
      <c r="GJ86" s="212"/>
      <c r="GK86" s="212"/>
      <c r="GL86" s="212"/>
      <c r="GM86" s="212"/>
      <c r="GN86" s="212"/>
      <c r="GO86" s="212"/>
      <c r="GP86" s="212"/>
      <c r="GQ86" s="212"/>
      <c r="GR86" s="212"/>
      <c r="GS86" s="212"/>
      <c r="GT86" s="212"/>
      <c r="GU86" s="212"/>
      <c r="GV86" s="212"/>
      <c r="GW86" s="212"/>
      <c r="GX86" s="212"/>
      <c r="GY86" s="212"/>
      <c r="GZ86" s="212"/>
      <c r="HA86" s="212"/>
      <c r="HB86" s="212"/>
      <c r="HC86" s="212"/>
      <c r="HD86" s="212"/>
      <c r="HE86" s="212"/>
      <c r="HF86" s="212"/>
      <c r="HG86" s="212"/>
      <c r="HH86" s="212"/>
      <c r="HI86" s="212"/>
      <c r="HJ86" s="212"/>
      <c r="HK86" s="212"/>
      <c r="HL86" s="212"/>
      <c r="HM86" s="212"/>
      <c r="HN86" s="212"/>
      <c r="HO86" s="212"/>
      <c r="HP86" s="212"/>
      <c r="HQ86" s="212"/>
      <c r="HR86" s="212"/>
      <c r="HS86" s="212"/>
      <c r="HT86" s="212"/>
      <c r="HU86" s="212"/>
      <c r="HV86" s="212"/>
      <c r="HW86" s="212"/>
      <c r="HX86" s="212"/>
      <c r="HY86" s="212"/>
      <c r="HZ86" s="212"/>
      <c r="IA86" s="212"/>
      <c r="IB86" s="212"/>
      <c r="IC86" s="212"/>
      <c r="ID86" s="212"/>
      <c r="IE86" s="212"/>
      <c r="IF86" s="212"/>
      <c r="IG86" s="212"/>
      <c r="IH86" s="212"/>
      <c r="II86" s="212"/>
      <c r="IJ86" s="212"/>
      <c r="IK86" s="212"/>
      <c r="IL86" s="212"/>
      <c r="IM86" s="212"/>
      <c r="IN86" s="212"/>
      <c r="IO86" s="212"/>
      <c r="IP86" s="212"/>
      <c r="IQ86" s="212"/>
      <c r="IR86" s="212"/>
      <c r="IS86" s="212"/>
      <c r="IT86" s="212"/>
      <c r="IU86" s="212"/>
      <c r="IV86" s="212"/>
    </row>
    <row r="87" spans="1:256" ht="21.75" customHeight="1">
      <c r="A87" s="3" t="s">
        <v>615</v>
      </c>
      <c r="B87" s="259" t="s">
        <v>627</v>
      </c>
      <c r="C87" s="259"/>
      <c r="D87" s="199">
        <v>0</v>
      </c>
      <c r="E87" s="199">
        <v>0</v>
      </c>
      <c r="F87" s="203">
        <f>F88+F89</f>
        <v>22432.883</v>
      </c>
      <c r="H87" s="221"/>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12"/>
      <c r="EV87" s="212"/>
      <c r="EW87" s="212"/>
      <c r="EX87" s="212"/>
      <c r="EY87" s="212"/>
      <c r="EZ87" s="212"/>
      <c r="FA87" s="212"/>
      <c r="FB87" s="212"/>
      <c r="FC87" s="212"/>
      <c r="FD87" s="212"/>
      <c r="FE87" s="212"/>
      <c r="FF87" s="212"/>
      <c r="FG87" s="212"/>
      <c r="FH87" s="212"/>
      <c r="FI87" s="212"/>
      <c r="FJ87" s="212"/>
      <c r="FK87" s="212"/>
      <c r="FL87" s="212"/>
      <c r="FM87" s="212"/>
      <c r="FN87" s="212"/>
      <c r="FO87" s="212"/>
      <c r="FP87" s="212"/>
      <c r="FQ87" s="212"/>
      <c r="FR87" s="212"/>
      <c r="FS87" s="212"/>
      <c r="FT87" s="212"/>
      <c r="FU87" s="212"/>
      <c r="FV87" s="212"/>
      <c r="FW87" s="212"/>
      <c r="FX87" s="212"/>
      <c r="FY87" s="212"/>
      <c r="FZ87" s="212"/>
      <c r="GA87" s="212"/>
      <c r="GB87" s="212"/>
      <c r="GC87" s="212"/>
      <c r="GD87" s="212"/>
      <c r="GE87" s="212"/>
      <c r="GF87" s="212"/>
      <c r="GG87" s="212"/>
      <c r="GH87" s="212"/>
      <c r="GI87" s="212"/>
      <c r="GJ87" s="212"/>
      <c r="GK87" s="212"/>
      <c r="GL87" s="212"/>
      <c r="GM87" s="212"/>
      <c r="GN87" s="212"/>
      <c r="GO87" s="212"/>
      <c r="GP87" s="212"/>
      <c r="GQ87" s="212"/>
      <c r="GR87" s="212"/>
      <c r="GS87" s="212"/>
      <c r="GT87" s="212"/>
      <c r="GU87" s="212"/>
      <c r="GV87" s="212"/>
      <c r="GW87" s="212"/>
      <c r="GX87" s="212"/>
      <c r="GY87" s="212"/>
      <c r="GZ87" s="212"/>
      <c r="HA87" s="212"/>
      <c r="HB87" s="212"/>
      <c r="HC87" s="212"/>
      <c r="HD87" s="212"/>
      <c r="HE87" s="212"/>
      <c r="HF87" s="212"/>
      <c r="HG87" s="212"/>
      <c r="HH87" s="212"/>
      <c r="HI87" s="212"/>
      <c r="HJ87" s="212"/>
      <c r="HK87" s="212"/>
      <c r="HL87" s="212"/>
      <c r="HM87" s="212"/>
      <c r="HN87" s="212"/>
      <c r="HO87" s="212"/>
      <c r="HP87" s="212"/>
      <c r="HQ87" s="212"/>
      <c r="HR87" s="212"/>
      <c r="HS87" s="212"/>
      <c r="HT87" s="212"/>
      <c r="HU87" s="212"/>
      <c r="HV87" s="212"/>
      <c r="HW87" s="212"/>
      <c r="HX87" s="212"/>
      <c r="HY87" s="212"/>
      <c r="HZ87" s="212"/>
      <c r="IA87" s="212"/>
      <c r="IB87" s="212"/>
      <c r="IC87" s="212"/>
      <c r="ID87" s="212"/>
      <c r="IE87" s="212"/>
      <c r="IF87" s="212"/>
      <c r="IG87" s="212"/>
      <c r="IH87" s="212"/>
      <c r="II87" s="212"/>
      <c r="IJ87" s="212"/>
      <c r="IK87" s="212"/>
      <c r="IL87" s="212"/>
      <c r="IM87" s="212"/>
      <c r="IN87" s="212"/>
      <c r="IO87" s="212"/>
      <c r="IP87" s="212"/>
      <c r="IQ87" s="212"/>
      <c r="IR87" s="212"/>
      <c r="IS87" s="212"/>
      <c r="IT87" s="212"/>
      <c r="IU87" s="212"/>
      <c r="IV87" s="212"/>
    </row>
    <row r="88" spans="1:256" ht="66.75" customHeight="1">
      <c r="A88" s="19" t="s">
        <v>721</v>
      </c>
      <c r="B88" s="268" t="s">
        <v>724</v>
      </c>
      <c r="C88" s="268"/>
      <c r="D88" s="201">
        <v>0</v>
      </c>
      <c r="E88" s="201">
        <v>0</v>
      </c>
      <c r="F88" s="99">
        <v>19305</v>
      </c>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12"/>
      <c r="DN88" s="212"/>
      <c r="DO88" s="212"/>
      <c r="DP88" s="212"/>
      <c r="DQ88" s="212"/>
      <c r="DR88" s="212"/>
      <c r="DS88" s="212"/>
      <c r="DT88" s="212"/>
      <c r="DU88" s="212"/>
      <c r="DV88" s="212"/>
      <c r="DW88" s="212"/>
      <c r="DX88" s="212"/>
      <c r="DY88" s="212"/>
      <c r="DZ88" s="212"/>
      <c r="EA88" s="212"/>
      <c r="EB88" s="212"/>
      <c r="EC88" s="212"/>
      <c r="ED88" s="212"/>
      <c r="EE88" s="212"/>
      <c r="EF88" s="212"/>
      <c r="EG88" s="212"/>
      <c r="EH88" s="212"/>
      <c r="EI88" s="212"/>
      <c r="EJ88" s="212"/>
      <c r="EK88" s="212"/>
      <c r="EL88" s="212"/>
      <c r="EM88" s="212"/>
      <c r="EN88" s="212"/>
      <c r="EO88" s="212"/>
      <c r="EP88" s="212"/>
      <c r="EQ88" s="212"/>
      <c r="ER88" s="212"/>
      <c r="ES88" s="212"/>
      <c r="ET88" s="212"/>
      <c r="EU88" s="212"/>
      <c r="EV88" s="212"/>
      <c r="EW88" s="212"/>
      <c r="EX88" s="212"/>
      <c r="EY88" s="212"/>
      <c r="EZ88" s="212"/>
      <c r="FA88" s="212"/>
      <c r="FB88" s="212"/>
      <c r="FC88" s="212"/>
      <c r="FD88" s="212"/>
      <c r="FE88" s="212"/>
      <c r="FF88" s="212"/>
      <c r="FG88" s="212"/>
      <c r="FH88" s="212"/>
      <c r="FI88" s="212"/>
      <c r="FJ88" s="212"/>
      <c r="FK88" s="212"/>
      <c r="FL88" s="212"/>
      <c r="FM88" s="212"/>
      <c r="FN88" s="212"/>
      <c r="FO88" s="212"/>
      <c r="FP88" s="212"/>
      <c r="FQ88" s="212"/>
      <c r="FR88" s="212"/>
      <c r="FS88" s="212"/>
      <c r="FT88" s="212"/>
      <c r="FU88" s="212"/>
      <c r="FV88" s="212"/>
      <c r="FW88" s="212"/>
      <c r="FX88" s="212"/>
      <c r="FY88" s="212"/>
      <c r="FZ88" s="212"/>
      <c r="GA88" s="212"/>
      <c r="GB88" s="212"/>
      <c r="GC88" s="212"/>
      <c r="GD88" s="212"/>
      <c r="GE88" s="212"/>
      <c r="GF88" s="212"/>
      <c r="GG88" s="212"/>
      <c r="GH88" s="212"/>
      <c r="GI88" s="212"/>
      <c r="GJ88" s="212"/>
      <c r="GK88" s="212"/>
      <c r="GL88" s="212"/>
      <c r="GM88" s="212"/>
      <c r="GN88" s="212"/>
      <c r="GO88" s="212"/>
      <c r="GP88" s="212"/>
      <c r="GQ88" s="212"/>
      <c r="GR88" s="212"/>
      <c r="GS88" s="212"/>
      <c r="GT88" s="212"/>
      <c r="GU88" s="212"/>
      <c r="GV88" s="212"/>
      <c r="GW88" s="212"/>
      <c r="GX88" s="212"/>
      <c r="GY88" s="212"/>
      <c r="GZ88" s="212"/>
      <c r="HA88" s="212"/>
      <c r="HB88" s="212"/>
      <c r="HC88" s="212"/>
      <c r="HD88" s="212"/>
      <c r="HE88" s="212"/>
      <c r="HF88" s="212"/>
      <c r="HG88" s="212"/>
      <c r="HH88" s="212"/>
      <c r="HI88" s="212"/>
      <c r="HJ88" s="212"/>
      <c r="HK88" s="212"/>
      <c r="HL88" s="212"/>
      <c r="HM88" s="212"/>
      <c r="HN88" s="212"/>
      <c r="HO88" s="212"/>
      <c r="HP88" s="212"/>
      <c r="HQ88" s="212"/>
      <c r="HR88" s="212"/>
      <c r="HS88" s="212"/>
      <c r="HT88" s="212"/>
      <c r="HU88" s="212"/>
      <c r="HV88" s="212"/>
      <c r="HW88" s="212"/>
      <c r="HX88" s="212"/>
      <c r="HY88" s="212"/>
      <c r="HZ88" s="212"/>
      <c r="IA88" s="212"/>
      <c r="IB88" s="212"/>
      <c r="IC88" s="212"/>
      <c r="ID88" s="212"/>
      <c r="IE88" s="212"/>
      <c r="IF88" s="212"/>
      <c r="IG88" s="212"/>
      <c r="IH88" s="212"/>
      <c r="II88" s="212"/>
      <c r="IJ88" s="212"/>
      <c r="IK88" s="212"/>
      <c r="IL88" s="212"/>
      <c r="IM88" s="212"/>
      <c r="IN88" s="212"/>
      <c r="IO88" s="212"/>
      <c r="IP88" s="212"/>
      <c r="IQ88" s="212"/>
      <c r="IR88" s="212"/>
      <c r="IS88" s="212"/>
      <c r="IT88" s="212"/>
      <c r="IU88" s="212"/>
      <c r="IV88" s="212"/>
    </row>
    <row r="89" spans="1:9" ht="63.75" customHeight="1">
      <c r="A89" s="19" t="s">
        <v>616</v>
      </c>
      <c r="B89" s="268" t="s">
        <v>468</v>
      </c>
      <c r="C89" s="268"/>
      <c r="D89" s="201">
        <f>4261.6</f>
        <v>4261.6</v>
      </c>
      <c r="E89" s="201">
        <v>4679.454</v>
      </c>
      <c r="F89" s="99">
        <f>1202+1418.344+50+45+130+53.4+361.497-173.558+41.2</f>
        <v>3127.883</v>
      </c>
      <c r="I89" s="212"/>
    </row>
    <row r="90" spans="1:9" ht="18" customHeight="1">
      <c r="A90" s="19"/>
      <c r="B90" s="276" t="s">
        <v>295</v>
      </c>
      <c r="C90" s="276"/>
      <c r="D90" s="199" t="e">
        <f>D10+D41</f>
        <v>#REF!</v>
      </c>
      <c r="E90" s="199" t="e">
        <f>E10+E41</f>
        <v>#REF!</v>
      </c>
      <c r="F90" s="199">
        <f>F10+F41</f>
        <v>688403.5720800001</v>
      </c>
      <c r="I90" s="211"/>
    </row>
    <row r="91" spans="3:5" ht="15.75" customHeight="1">
      <c r="C91" s="121"/>
      <c r="D91" s="223"/>
      <c r="E91" s="223"/>
    </row>
    <row r="92" spans="3:5" ht="15.75" customHeight="1">
      <c r="C92" s="121"/>
      <c r="D92" s="217"/>
      <c r="E92" s="224"/>
    </row>
    <row r="93" spans="3:5" ht="15.75" customHeight="1">
      <c r="C93" s="121"/>
      <c r="D93" s="217"/>
      <c r="E93" s="217"/>
    </row>
    <row r="94" spans="4:5" ht="15.75" customHeight="1">
      <c r="D94" s="217"/>
      <c r="E94" s="217"/>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44.25" customHeight="1"/>
    <row r="110" ht="44.25" customHeight="1"/>
    <row r="111" ht="44.25" customHeight="1"/>
    <row r="112" ht="44.25" customHeight="1"/>
    <row r="113" ht="44.25" customHeight="1"/>
  </sheetData>
  <sheetProtection/>
  <mergeCells count="93">
    <mergeCell ref="B46:C46"/>
    <mergeCell ref="B89:C89"/>
    <mergeCell ref="B90:C90"/>
    <mergeCell ref="B83:C83"/>
    <mergeCell ref="B84:C84"/>
    <mergeCell ref="B85:C85"/>
    <mergeCell ref="B86:C86"/>
    <mergeCell ref="B87:C87"/>
    <mergeCell ref="B81:C81"/>
    <mergeCell ref="B82:C82"/>
    <mergeCell ref="B76:C76"/>
    <mergeCell ref="B77:C77"/>
    <mergeCell ref="B78:C78"/>
    <mergeCell ref="B88:C88"/>
    <mergeCell ref="B73:C73"/>
    <mergeCell ref="B75:C75"/>
    <mergeCell ref="B74:C74"/>
    <mergeCell ref="B72:C72"/>
    <mergeCell ref="B79:C79"/>
    <mergeCell ref="B80:C80"/>
    <mergeCell ref="B62:C62"/>
    <mergeCell ref="B64:C64"/>
    <mergeCell ref="B66:C66"/>
    <mergeCell ref="B68:C68"/>
    <mergeCell ref="B69:C69"/>
    <mergeCell ref="B71:C71"/>
    <mergeCell ref="B63:C63"/>
    <mergeCell ref="B65:C65"/>
    <mergeCell ref="B70:C70"/>
    <mergeCell ref="B67:C67"/>
    <mergeCell ref="B54:C54"/>
    <mergeCell ref="B57:C57"/>
    <mergeCell ref="B58:C58"/>
    <mergeCell ref="B59:C59"/>
    <mergeCell ref="B60:C60"/>
    <mergeCell ref="B61:C61"/>
    <mergeCell ref="B55:C55"/>
    <mergeCell ref="B56:C56"/>
    <mergeCell ref="B47:C47"/>
    <mergeCell ref="B50:C50"/>
    <mergeCell ref="B51:C51"/>
    <mergeCell ref="B52:C52"/>
    <mergeCell ref="B53:C53"/>
    <mergeCell ref="B48:C48"/>
    <mergeCell ref="B49:C49"/>
    <mergeCell ref="B40:C40"/>
    <mergeCell ref="B41:C41"/>
    <mergeCell ref="B42:C42"/>
    <mergeCell ref="B43:C43"/>
    <mergeCell ref="B44:C44"/>
    <mergeCell ref="B45:C45"/>
    <mergeCell ref="B33:C33"/>
    <mergeCell ref="B34:C34"/>
    <mergeCell ref="B35:C35"/>
    <mergeCell ref="B36:C36"/>
    <mergeCell ref="B38:C38"/>
    <mergeCell ref="B39:C39"/>
    <mergeCell ref="B37:C37"/>
    <mergeCell ref="B26:C26"/>
    <mergeCell ref="B27:C27"/>
    <mergeCell ref="B28:C28"/>
    <mergeCell ref="B30:C30"/>
    <mergeCell ref="B31:C31"/>
    <mergeCell ref="B32:C32"/>
    <mergeCell ref="B29:C29"/>
    <mergeCell ref="B20:C20"/>
    <mergeCell ref="B21:C21"/>
    <mergeCell ref="B22:C22"/>
    <mergeCell ref="B23:C23"/>
    <mergeCell ref="B24:C24"/>
    <mergeCell ref="B25:C25"/>
    <mergeCell ref="B14:C14"/>
    <mergeCell ref="B15:C15"/>
    <mergeCell ref="B16:C16"/>
    <mergeCell ref="B17:C17"/>
    <mergeCell ref="B18:C18"/>
    <mergeCell ref="B19:C19"/>
    <mergeCell ref="E8:E9"/>
    <mergeCell ref="F8:F9"/>
    <mergeCell ref="B10:C10"/>
    <mergeCell ref="B11:C11"/>
    <mergeCell ref="B12:C12"/>
    <mergeCell ref="B13:C13"/>
    <mergeCell ref="C1:G1"/>
    <mergeCell ref="C2:G2"/>
    <mergeCell ref="C3:G3"/>
    <mergeCell ref="C4:G4"/>
    <mergeCell ref="G8:G9"/>
    <mergeCell ref="A6:G6"/>
    <mergeCell ref="B7:C7"/>
    <mergeCell ref="A8:A9"/>
    <mergeCell ref="B8:C9"/>
    <mergeCell ref="D8:D9"/>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rgb="FFFF0000"/>
  </sheetPr>
  <dimension ref="A1:K760"/>
  <sheetViews>
    <sheetView view="pageBreakPreview" zoomScale="84" zoomScaleSheetLayoutView="84" workbookViewId="0" topLeftCell="A740">
      <selection activeCell="O752" sqref="O752"/>
    </sheetView>
  </sheetViews>
  <sheetFormatPr defaultColWidth="8.625" defaultRowHeight="12.75"/>
  <cols>
    <col min="1" max="1" width="46.00390625" style="310" customWidth="1"/>
    <col min="2" max="2" width="4.625" style="25" customWidth="1"/>
    <col min="3" max="3" width="5.50390625" style="25" customWidth="1"/>
    <col min="4" max="4" width="14.625" style="25" customWidth="1"/>
    <col min="5" max="5" width="5.50390625" style="25" customWidth="1"/>
    <col min="6" max="6" width="16.00390625" style="122" customWidth="1"/>
    <col min="7" max="7" width="18.625" style="122" customWidth="1"/>
    <col min="8" max="8" width="16.50390625" style="122" customWidth="1"/>
    <col min="9" max="9" width="16.375" style="122" bestFit="1" customWidth="1"/>
    <col min="10" max="10" width="16.375" style="122" customWidth="1"/>
    <col min="11" max="11" width="12.125" style="122" bestFit="1" customWidth="1"/>
    <col min="12" max="16384" width="8.625" style="122" customWidth="1"/>
  </cols>
  <sheetData>
    <row r="1" spans="1:8" ht="15">
      <c r="A1" s="8"/>
      <c r="B1" s="8"/>
      <c r="C1" s="8"/>
      <c r="D1" s="8"/>
      <c r="F1" s="256" t="s">
        <v>497</v>
      </c>
      <c r="G1" s="256"/>
      <c r="H1" s="256"/>
    </row>
    <row r="2" spans="6:8" ht="15">
      <c r="F2" s="256" t="s">
        <v>394</v>
      </c>
      <c r="G2" s="256"/>
      <c r="H2" s="256"/>
    </row>
    <row r="3" spans="6:8" ht="15">
      <c r="F3" s="256" t="s">
        <v>395</v>
      </c>
      <c r="G3" s="256"/>
      <c r="H3" s="256"/>
    </row>
    <row r="4" spans="6:8" ht="15.75" customHeight="1">
      <c r="F4" s="311" t="s">
        <v>996</v>
      </c>
      <c r="G4" s="256"/>
      <c r="H4" s="256"/>
    </row>
    <row r="5" ht="4.5" customHeight="1"/>
    <row r="6" spans="1:8" ht="15">
      <c r="A6" s="279" t="s">
        <v>396</v>
      </c>
      <c r="B6" s="279"/>
      <c r="C6" s="279"/>
      <c r="D6" s="279"/>
      <c r="E6" s="279"/>
      <c r="F6" s="279"/>
      <c r="G6" s="279"/>
      <c r="H6" s="279"/>
    </row>
    <row r="7" spans="1:8" ht="16.5" customHeight="1">
      <c r="A7" s="279" t="s">
        <v>754</v>
      </c>
      <c r="B7" s="279"/>
      <c r="C7" s="279"/>
      <c r="D7" s="279"/>
      <c r="E7" s="279"/>
      <c r="F7" s="279"/>
      <c r="G7" s="279"/>
      <c r="H7" s="279"/>
    </row>
    <row r="8" spans="1:8" ht="15.75" customHeight="1">
      <c r="A8" s="279" t="s">
        <v>138</v>
      </c>
      <c r="B8" s="279"/>
      <c r="C8" s="279"/>
      <c r="D8" s="279"/>
      <c r="E8" s="279"/>
      <c r="F8" s="279"/>
      <c r="G8" s="279"/>
      <c r="H8" s="279"/>
    </row>
    <row r="9" spans="1:8" ht="15.75" customHeight="1">
      <c r="A9" s="6"/>
      <c r="B9" s="6"/>
      <c r="C9" s="123"/>
      <c r="D9" s="123"/>
      <c r="E9" s="123"/>
      <c r="F9" s="123"/>
      <c r="G9" s="123"/>
      <c r="H9" s="121" t="s">
        <v>359</v>
      </c>
    </row>
    <row r="10" spans="1:8" ht="12" customHeight="1">
      <c r="A10" s="268" t="s">
        <v>336</v>
      </c>
      <c r="B10" s="268" t="s">
        <v>145</v>
      </c>
      <c r="C10" s="268" t="s">
        <v>146</v>
      </c>
      <c r="D10" s="268" t="s">
        <v>338</v>
      </c>
      <c r="E10" s="268" t="s">
        <v>147</v>
      </c>
      <c r="F10" s="258" t="s">
        <v>622</v>
      </c>
      <c r="G10" s="258" t="s">
        <v>340</v>
      </c>
      <c r="H10" s="258"/>
    </row>
    <row r="11" spans="1:8" ht="52.5" customHeight="1">
      <c r="A11" s="268"/>
      <c r="B11" s="268"/>
      <c r="C11" s="268"/>
      <c r="D11" s="268"/>
      <c r="E11" s="268"/>
      <c r="F11" s="258"/>
      <c r="G11" s="26" t="s">
        <v>137</v>
      </c>
      <c r="H11" s="26" t="s">
        <v>237</v>
      </c>
    </row>
    <row r="12" spans="1:8" s="137" customFormat="1" ht="12" customHeight="1">
      <c r="A12" s="19">
        <v>1</v>
      </c>
      <c r="B12" s="19">
        <v>2</v>
      </c>
      <c r="C12" s="19">
        <v>3</v>
      </c>
      <c r="D12" s="19">
        <v>4</v>
      </c>
      <c r="E12" s="19">
        <v>5</v>
      </c>
      <c r="F12" s="26">
        <v>6</v>
      </c>
      <c r="G12" s="26">
        <v>7</v>
      </c>
      <c r="H12" s="124">
        <v>8</v>
      </c>
    </row>
    <row r="13" spans="1:8" ht="18.75" customHeight="1">
      <c r="A13" s="54" t="s">
        <v>148</v>
      </c>
      <c r="B13" s="16" t="s">
        <v>149</v>
      </c>
      <c r="C13" s="16" t="s">
        <v>150</v>
      </c>
      <c r="D13" s="16" t="s">
        <v>311</v>
      </c>
      <c r="E13" s="16" t="s">
        <v>398</v>
      </c>
      <c r="F13" s="101">
        <f>G13+H13</f>
        <v>56856.64368</v>
      </c>
      <c r="G13" s="101">
        <f>G14+G20+G35+G48+G68+G72+G78+G84+G45</f>
        <v>51044.89243</v>
      </c>
      <c r="H13" s="101">
        <f>H14+H20+H35+H48+H68+H84+H45</f>
        <v>5811.751249999999</v>
      </c>
    </row>
    <row r="14" spans="1:10" ht="47.25" customHeight="1">
      <c r="A14" s="23" t="s">
        <v>344</v>
      </c>
      <c r="B14" s="11" t="s">
        <v>149</v>
      </c>
      <c r="C14" s="11" t="s">
        <v>151</v>
      </c>
      <c r="D14" s="11" t="s">
        <v>311</v>
      </c>
      <c r="E14" s="11" t="s">
        <v>398</v>
      </c>
      <c r="F14" s="56">
        <f>G14+H14</f>
        <v>2678.9199999999996</v>
      </c>
      <c r="G14" s="56">
        <f aca="true" t="shared" si="0" ref="G14:H17">G15</f>
        <v>2678.9199999999996</v>
      </c>
      <c r="H14" s="56">
        <f t="shared" si="0"/>
        <v>0</v>
      </c>
      <c r="I14" s="126"/>
      <c r="J14" s="126"/>
    </row>
    <row r="15" spans="1:8" ht="33" customHeight="1">
      <c r="A15" s="23" t="s">
        <v>152</v>
      </c>
      <c r="B15" s="11" t="s">
        <v>149</v>
      </c>
      <c r="C15" s="11" t="s">
        <v>151</v>
      </c>
      <c r="D15" s="11" t="s">
        <v>17</v>
      </c>
      <c r="E15" s="11" t="s">
        <v>398</v>
      </c>
      <c r="F15" s="56">
        <f aca="true" t="shared" si="1" ref="F15:F36">G15+H15</f>
        <v>2678.9199999999996</v>
      </c>
      <c r="G15" s="56">
        <f t="shared" si="0"/>
        <v>2678.9199999999996</v>
      </c>
      <c r="H15" s="56">
        <f t="shared" si="0"/>
        <v>0</v>
      </c>
    </row>
    <row r="16" spans="1:8" ht="48" customHeight="1">
      <c r="A16" s="23" t="s">
        <v>153</v>
      </c>
      <c r="B16" s="11" t="s">
        <v>149</v>
      </c>
      <c r="C16" s="11" t="s">
        <v>151</v>
      </c>
      <c r="D16" s="11" t="s">
        <v>18</v>
      </c>
      <c r="E16" s="11" t="s">
        <v>398</v>
      </c>
      <c r="F16" s="56">
        <f t="shared" si="1"/>
        <v>2678.9199999999996</v>
      </c>
      <c r="G16" s="56">
        <f t="shared" si="0"/>
        <v>2678.9199999999996</v>
      </c>
      <c r="H16" s="56">
        <f t="shared" si="0"/>
        <v>0</v>
      </c>
    </row>
    <row r="17" spans="1:8" s="125" customFormat="1" ht="16.5" customHeight="1">
      <c r="A17" s="27" t="s">
        <v>403</v>
      </c>
      <c r="B17" s="24" t="s">
        <v>149</v>
      </c>
      <c r="C17" s="24" t="s">
        <v>151</v>
      </c>
      <c r="D17" s="24" t="s">
        <v>19</v>
      </c>
      <c r="E17" s="24" t="s">
        <v>398</v>
      </c>
      <c r="F17" s="57">
        <f t="shared" si="1"/>
        <v>2678.9199999999996</v>
      </c>
      <c r="G17" s="57">
        <f>G18</f>
        <v>2678.9199999999996</v>
      </c>
      <c r="H17" s="57">
        <f t="shared" si="0"/>
        <v>0</v>
      </c>
    </row>
    <row r="18" spans="1:8" ht="95.25" customHeight="1">
      <c r="A18" s="23" t="s">
        <v>185</v>
      </c>
      <c r="B18" s="11" t="s">
        <v>149</v>
      </c>
      <c r="C18" s="11" t="s">
        <v>151</v>
      </c>
      <c r="D18" s="11" t="s">
        <v>19</v>
      </c>
      <c r="E18" s="11" t="s">
        <v>154</v>
      </c>
      <c r="F18" s="56">
        <f t="shared" si="1"/>
        <v>2678.9199999999996</v>
      </c>
      <c r="G18" s="56">
        <f>G19</f>
        <v>2678.9199999999996</v>
      </c>
      <c r="H18" s="56"/>
    </row>
    <row r="19" spans="1:8" ht="33.75" customHeight="1">
      <c r="A19" s="23" t="s">
        <v>187</v>
      </c>
      <c r="B19" s="11" t="s">
        <v>149</v>
      </c>
      <c r="C19" s="11" t="s">
        <v>151</v>
      </c>
      <c r="D19" s="11" t="s">
        <v>19</v>
      </c>
      <c r="E19" s="11" t="s">
        <v>186</v>
      </c>
      <c r="F19" s="56">
        <f>G19+H19</f>
        <v>2678.9199999999996</v>
      </c>
      <c r="G19" s="99">
        <f>1926.07+560+122.6+56.5+13.75</f>
        <v>2678.9199999999996</v>
      </c>
      <c r="H19" s="56"/>
    </row>
    <row r="20" spans="1:10" ht="65.25" customHeight="1">
      <c r="A20" s="23" t="s">
        <v>155</v>
      </c>
      <c r="B20" s="11" t="s">
        <v>149</v>
      </c>
      <c r="C20" s="11" t="s">
        <v>156</v>
      </c>
      <c r="D20" s="11" t="s">
        <v>311</v>
      </c>
      <c r="E20" s="11" t="s">
        <v>398</v>
      </c>
      <c r="F20" s="56">
        <f t="shared" si="1"/>
        <v>3612.7826800000003</v>
      </c>
      <c r="G20" s="56">
        <f>G21</f>
        <v>3612.7826800000003</v>
      </c>
      <c r="H20" s="56">
        <f>H21</f>
        <v>0</v>
      </c>
      <c r="J20" s="130"/>
    </row>
    <row r="21" spans="1:8" ht="33" customHeight="1">
      <c r="A21" s="23" t="s">
        <v>152</v>
      </c>
      <c r="B21" s="11" t="s">
        <v>149</v>
      </c>
      <c r="C21" s="11" t="s">
        <v>156</v>
      </c>
      <c r="D21" s="11" t="s">
        <v>17</v>
      </c>
      <c r="E21" s="11" t="s">
        <v>398</v>
      </c>
      <c r="F21" s="56">
        <f t="shared" si="1"/>
        <v>3612.7826800000003</v>
      </c>
      <c r="G21" s="56">
        <f>G22</f>
        <v>3612.7826800000003</v>
      </c>
      <c r="H21" s="56">
        <f>H22</f>
        <v>0</v>
      </c>
    </row>
    <row r="22" spans="1:8" ht="47.25" customHeight="1">
      <c r="A22" s="23" t="s">
        <v>153</v>
      </c>
      <c r="B22" s="11" t="s">
        <v>149</v>
      </c>
      <c r="C22" s="11" t="s">
        <v>156</v>
      </c>
      <c r="D22" s="11" t="s">
        <v>18</v>
      </c>
      <c r="E22" s="11" t="s">
        <v>398</v>
      </c>
      <c r="F22" s="56">
        <f t="shared" si="1"/>
        <v>3612.7826800000003</v>
      </c>
      <c r="G22" s="56">
        <f>G28+G23</f>
        <v>3612.7826800000003</v>
      </c>
      <c r="H22" s="56">
        <f>H28+H23</f>
        <v>0</v>
      </c>
    </row>
    <row r="23" spans="1:8" s="125" customFormat="1" ht="33.75" customHeight="1">
      <c r="A23" s="27" t="s">
        <v>180</v>
      </c>
      <c r="B23" s="24" t="s">
        <v>149</v>
      </c>
      <c r="C23" s="24" t="s">
        <v>156</v>
      </c>
      <c r="D23" s="24" t="s">
        <v>20</v>
      </c>
      <c r="E23" s="24" t="s">
        <v>398</v>
      </c>
      <c r="F23" s="57">
        <f t="shared" si="1"/>
        <v>1797.8380300000001</v>
      </c>
      <c r="G23" s="57">
        <f>G24+G26</f>
        <v>1797.8380300000001</v>
      </c>
      <c r="H23" s="57"/>
    </row>
    <row r="24" spans="1:8" ht="98.25" customHeight="1">
      <c r="A24" s="23" t="s">
        <v>185</v>
      </c>
      <c r="B24" s="11" t="s">
        <v>149</v>
      </c>
      <c r="C24" s="11" t="s">
        <v>156</v>
      </c>
      <c r="D24" s="11" t="s">
        <v>20</v>
      </c>
      <c r="E24" s="11" t="s">
        <v>154</v>
      </c>
      <c r="F24" s="56">
        <f t="shared" si="1"/>
        <v>1797.8380300000001</v>
      </c>
      <c r="G24" s="56">
        <f>G25</f>
        <v>1797.8380300000001</v>
      </c>
      <c r="H24" s="56"/>
    </row>
    <row r="25" spans="1:8" ht="35.25" customHeight="1">
      <c r="A25" s="23" t="s">
        <v>187</v>
      </c>
      <c r="B25" s="11" t="s">
        <v>149</v>
      </c>
      <c r="C25" s="11" t="s">
        <v>156</v>
      </c>
      <c r="D25" s="11" t="s">
        <v>20</v>
      </c>
      <c r="E25" s="11" t="s">
        <v>186</v>
      </c>
      <c r="F25" s="56">
        <f t="shared" si="1"/>
        <v>1797.8380300000001</v>
      </c>
      <c r="G25" s="111">
        <f>1749.503-2.5-10+46.72429+14.11074</f>
        <v>1797.8380300000001</v>
      </c>
      <c r="H25" s="56"/>
    </row>
    <row r="26" spans="1:8" ht="35.25" customHeight="1" hidden="1">
      <c r="A26" s="23" t="s">
        <v>188</v>
      </c>
      <c r="B26" s="11" t="s">
        <v>149</v>
      </c>
      <c r="C26" s="11" t="s">
        <v>156</v>
      </c>
      <c r="D26" s="11" t="s">
        <v>20</v>
      </c>
      <c r="E26" s="11" t="s">
        <v>158</v>
      </c>
      <c r="F26" s="56">
        <f>G26+H26</f>
        <v>0</v>
      </c>
      <c r="G26" s="56">
        <f>G27</f>
        <v>0</v>
      </c>
      <c r="H26" s="56">
        <f>H27</f>
        <v>0</v>
      </c>
    </row>
    <row r="27" spans="1:8" ht="48" customHeight="1" hidden="1">
      <c r="A27" s="23" t="s">
        <v>189</v>
      </c>
      <c r="B27" s="11" t="s">
        <v>149</v>
      </c>
      <c r="C27" s="11" t="s">
        <v>156</v>
      </c>
      <c r="D27" s="11" t="s">
        <v>20</v>
      </c>
      <c r="E27" s="11" t="s">
        <v>190</v>
      </c>
      <c r="F27" s="56">
        <f>G27+H27</f>
        <v>0</v>
      </c>
      <c r="G27" s="56">
        <f>15-15</f>
        <v>0</v>
      </c>
      <c r="H27" s="56"/>
    </row>
    <row r="28" spans="1:10" s="125" customFormat="1" ht="48.75" customHeight="1">
      <c r="A28" s="27" t="s">
        <v>157</v>
      </c>
      <c r="B28" s="24" t="s">
        <v>149</v>
      </c>
      <c r="C28" s="24" t="s">
        <v>156</v>
      </c>
      <c r="D28" s="24" t="s">
        <v>21</v>
      </c>
      <c r="E28" s="24" t="s">
        <v>398</v>
      </c>
      <c r="F28" s="57">
        <f t="shared" si="1"/>
        <v>1814.94465</v>
      </c>
      <c r="G28" s="57">
        <f>G29+G31+G33</f>
        <v>1814.94465</v>
      </c>
      <c r="H28" s="57">
        <f>SUM(H29:H32)</f>
        <v>0</v>
      </c>
      <c r="I28" s="154"/>
      <c r="J28" s="154"/>
    </row>
    <row r="29" spans="1:8" ht="94.5" customHeight="1">
      <c r="A29" s="23" t="s">
        <v>185</v>
      </c>
      <c r="B29" s="11" t="s">
        <v>149</v>
      </c>
      <c r="C29" s="11" t="s">
        <v>156</v>
      </c>
      <c r="D29" s="11" t="s">
        <v>21</v>
      </c>
      <c r="E29" s="11" t="s">
        <v>154</v>
      </c>
      <c r="F29" s="56">
        <f t="shared" si="1"/>
        <v>804.87865</v>
      </c>
      <c r="G29" s="56">
        <f>G30</f>
        <v>804.87865</v>
      </c>
      <c r="H29" s="56"/>
    </row>
    <row r="30" spans="1:8" ht="35.25" customHeight="1">
      <c r="A30" s="23" t="s">
        <v>187</v>
      </c>
      <c r="B30" s="11" t="s">
        <v>149</v>
      </c>
      <c r="C30" s="11" t="s">
        <v>156</v>
      </c>
      <c r="D30" s="11" t="s">
        <v>21</v>
      </c>
      <c r="E30" s="11" t="s">
        <v>186</v>
      </c>
      <c r="F30" s="56">
        <f t="shared" si="1"/>
        <v>804.87865</v>
      </c>
      <c r="G30" s="56">
        <f>1909.672-679.566-405.104-37-12+20.64259+6.23406+2</f>
        <v>804.87865</v>
      </c>
      <c r="H30" s="56"/>
    </row>
    <row r="31" spans="1:8" ht="33" customHeight="1">
      <c r="A31" s="23" t="s">
        <v>188</v>
      </c>
      <c r="B31" s="11" t="s">
        <v>149</v>
      </c>
      <c r="C31" s="11" t="s">
        <v>156</v>
      </c>
      <c r="D31" s="11" t="s">
        <v>21</v>
      </c>
      <c r="E31" s="11" t="s">
        <v>158</v>
      </c>
      <c r="F31" s="56">
        <f t="shared" si="1"/>
        <v>1009.566</v>
      </c>
      <c r="G31" s="56">
        <f>G32</f>
        <v>1009.566</v>
      </c>
      <c r="H31" s="56"/>
    </row>
    <row r="32" spans="1:8" ht="50.25" customHeight="1">
      <c r="A32" s="23" t="s">
        <v>189</v>
      </c>
      <c r="B32" s="11" t="s">
        <v>149</v>
      </c>
      <c r="C32" s="11" t="s">
        <v>156</v>
      </c>
      <c r="D32" s="11" t="s">
        <v>21</v>
      </c>
      <c r="E32" s="11" t="s">
        <v>190</v>
      </c>
      <c r="F32" s="56">
        <f t="shared" si="1"/>
        <v>1009.566</v>
      </c>
      <c r="G32" s="56">
        <f>344+679.566-39+25</f>
        <v>1009.566</v>
      </c>
      <c r="H32" s="56"/>
    </row>
    <row r="33" spans="1:8" ht="19.5" customHeight="1">
      <c r="A33" s="23" t="s">
        <v>193</v>
      </c>
      <c r="B33" s="11" t="s">
        <v>149</v>
      </c>
      <c r="C33" s="11" t="s">
        <v>156</v>
      </c>
      <c r="D33" s="11" t="s">
        <v>21</v>
      </c>
      <c r="E33" s="11" t="s">
        <v>194</v>
      </c>
      <c r="F33" s="56">
        <f>G33+H33</f>
        <v>0.5</v>
      </c>
      <c r="G33" s="56">
        <f>G34</f>
        <v>0.5</v>
      </c>
      <c r="H33" s="56"/>
    </row>
    <row r="34" spans="1:8" ht="18.75" customHeight="1">
      <c r="A34" s="23" t="s">
        <v>191</v>
      </c>
      <c r="B34" s="11" t="s">
        <v>149</v>
      </c>
      <c r="C34" s="11" t="s">
        <v>156</v>
      </c>
      <c r="D34" s="11" t="s">
        <v>21</v>
      </c>
      <c r="E34" s="11" t="s">
        <v>192</v>
      </c>
      <c r="F34" s="56">
        <f>G34+H34</f>
        <v>0.5</v>
      </c>
      <c r="G34" s="56">
        <f>5-4.5</f>
        <v>0.5</v>
      </c>
      <c r="H34" s="56"/>
    </row>
    <row r="35" spans="1:10" ht="82.5" customHeight="1">
      <c r="A35" s="23" t="s">
        <v>326</v>
      </c>
      <c r="B35" s="11" t="s">
        <v>149</v>
      </c>
      <c r="C35" s="11" t="s">
        <v>160</v>
      </c>
      <c r="D35" s="11" t="s">
        <v>311</v>
      </c>
      <c r="E35" s="11" t="s">
        <v>398</v>
      </c>
      <c r="F35" s="56">
        <f t="shared" si="1"/>
        <v>26851.1591</v>
      </c>
      <c r="G35" s="56">
        <f>G36</f>
        <v>26851.1591</v>
      </c>
      <c r="H35" s="56"/>
      <c r="J35" s="132"/>
    </row>
    <row r="36" spans="1:9" ht="33.75" customHeight="1">
      <c r="A36" s="23" t="s">
        <v>152</v>
      </c>
      <c r="B36" s="11" t="s">
        <v>149</v>
      </c>
      <c r="C36" s="11" t="s">
        <v>160</v>
      </c>
      <c r="D36" s="11" t="s">
        <v>17</v>
      </c>
      <c r="E36" s="11" t="s">
        <v>398</v>
      </c>
      <c r="F36" s="56">
        <f t="shared" si="1"/>
        <v>26851.1591</v>
      </c>
      <c r="G36" s="56">
        <f>G37</f>
        <v>26851.1591</v>
      </c>
      <c r="H36" s="56"/>
      <c r="I36" s="126"/>
    </row>
    <row r="37" spans="1:8" ht="47.25" customHeight="1">
      <c r="A37" s="23" t="s">
        <v>153</v>
      </c>
      <c r="B37" s="11" t="s">
        <v>149</v>
      </c>
      <c r="C37" s="11" t="s">
        <v>160</v>
      </c>
      <c r="D37" s="11" t="s">
        <v>18</v>
      </c>
      <c r="E37" s="11" t="s">
        <v>398</v>
      </c>
      <c r="F37" s="56">
        <f>G37+H37</f>
        <v>26851.1591</v>
      </c>
      <c r="G37" s="56">
        <f>G38</f>
        <v>26851.1591</v>
      </c>
      <c r="H37" s="56">
        <f>H38</f>
        <v>0</v>
      </c>
    </row>
    <row r="38" spans="1:10" s="125" customFormat="1" ht="48.75" customHeight="1">
      <c r="A38" s="27" t="s">
        <v>157</v>
      </c>
      <c r="B38" s="24" t="s">
        <v>149</v>
      </c>
      <c r="C38" s="24" t="s">
        <v>160</v>
      </c>
      <c r="D38" s="24" t="s">
        <v>21</v>
      </c>
      <c r="E38" s="24" t="s">
        <v>398</v>
      </c>
      <c r="F38" s="57">
        <f aca="true" t="shared" si="2" ref="F38:F187">G38+H38</f>
        <v>26851.1591</v>
      </c>
      <c r="G38" s="57">
        <f>G39+G41+G43</f>
        <v>26851.1591</v>
      </c>
      <c r="H38" s="57">
        <f>SUM(H39:H42)</f>
        <v>0</v>
      </c>
      <c r="J38" s="154"/>
    </row>
    <row r="39" spans="1:8" ht="96" customHeight="1">
      <c r="A39" s="23" t="s">
        <v>185</v>
      </c>
      <c r="B39" s="11" t="s">
        <v>149</v>
      </c>
      <c r="C39" s="11" t="s">
        <v>160</v>
      </c>
      <c r="D39" s="11" t="s">
        <v>21</v>
      </c>
      <c r="E39" s="11" t="s">
        <v>154</v>
      </c>
      <c r="F39" s="56">
        <f t="shared" si="2"/>
        <v>13618.5</v>
      </c>
      <c r="G39" s="56">
        <f>G40</f>
        <v>13618.5</v>
      </c>
      <c r="H39" s="56"/>
    </row>
    <row r="40" spans="1:10" ht="39" customHeight="1">
      <c r="A40" s="23" t="s">
        <v>187</v>
      </c>
      <c r="B40" s="11" t="s">
        <v>149</v>
      </c>
      <c r="C40" s="11" t="s">
        <v>160</v>
      </c>
      <c r="D40" s="11" t="s">
        <v>21</v>
      </c>
      <c r="E40" s="11" t="s">
        <v>186</v>
      </c>
      <c r="F40" s="56">
        <f t="shared" si="2"/>
        <v>13618.5</v>
      </c>
      <c r="G40" s="56">
        <f>9994.7+180+3018.4+392.05+118.35-20-50-15</f>
        <v>13618.5</v>
      </c>
      <c r="H40" s="56"/>
      <c r="J40" s="130"/>
    </row>
    <row r="41" spans="1:8" ht="33" customHeight="1">
      <c r="A41" s="23" t="s">
        <v>188</v>
      </c>
      <c r="B41" s="11" t="s">
        <v>149</v>
      </c>
      <c r="C41" s="11" t="s">
        <v>160</v>
      </c>
      <c r="D41" s="11" t="s">
        <v>21</v>
      </c>
      <c r="E41" s="11" t="s">
        <v>158</v>
      </c>
      <c r="F41" s="56">
        <f t="shared" si="2"/>
        <v>12690.6591</v>
      </c>
      <c r="G41" s="56">
        <f>G42</f>
        <v>12690.6591</v>
      </c>
      <c r="H41" s="56"/>
    </row>
    <row r="42" spans="1:8" ht="49.5" customHeight="1">
      <c r="A42" s="23" t="s">
        <v>189</v>
      </c>
      <c r="B42" s="11" t="s">
        <v>149</v>
      </c>
      <c r="C42" s="11" t="s">
        <v>160</v>
      </c>
      <c r="D42" s="11" t="s">
        <v>21</v>
      </c>
      <c r="E42" s="11" t="s">
        <v>190</v>
      </c>
      <c r="F42" s="56">
        <f t="shared" si="2"/>
        <v>12690.6591</v>
      </c>
      <c r="G42" s="56">
        <f>9616.943-2000-81.15661-200+2574-300+3125.67271-17.8-2-25</f>
        <v>12690.6591</v>
      </c>
      <c r="H42" s="56"/>
    </row>
    <row r="43" spans="1:8" ht="18" customHeight="1">
      <c r="A43" s="23" t="s">
        <v>193</v>
      </c>
      <c r="B43" s="11" t="s">
        <v>149</v>
      </c>
      <c r="C43" s="11" t="s">
        <v>160</v>
      </c>
      <c r="D43" s="11" t="s">
        <v>21</v>
      </c>
      <c r="E43" s="11" t="s">
        <v>194</v>
      </c>
      <c r="F43" s="56">
        <f t="shared" si="2"/>
        <v>542</v>
      </c>
      <c r="G43" s="56">
        <f>G44</f>
        <v>542</v>
      </c>
      <c r="H43" s="56"/>
    </row>
    <row r="44" spans="1:8" ht="17.25" customHeight="1">
      <c r="A44" s="52" t="s">
        <v>191</v>
      </c>
      <c r="B44" s="11" t="s">
        <v>149</v>
      </c>
      <c r="C44" s="11" t="s">
        <v>160</v>
      </c>
      <c r="D44" s="11" t="s">
        <v>21</v>
      </c>
      <c r="E44" s="11" t="s">
        <v>192</v>
      </c>
      <c r="F44" s="56">
        <f t="shared" si="2"/>
        <v>542</v>
      </c>
      <c r="G44" s="56">
        <f>492+50</f>
        <v>542</v>
      </c>
      <c r="H44" s="56"/>
    </row>
    <row r="45" spans="1:8" ht="49.5" customHeight="1">
      <c r="A45" s="52" t="s">
        <v>689</v>
      </c>
      <c r="B45" s="11" t="s">
        <v>149</v>
      </c>
      <c r="C45" s="11" t="s">
        <v>377</v>
      </c>
      <c r="D45" s="11" t="s">
        <v>443</v>
      </c>
      <c r="E45" s="11" t="s">
        <v>398</v>
      </c>
      <c r="F45" s="56">
        <f>H45</f>
        <v>173.891</v>
      </c>
      <c r="G45" s="56"/>
      <c r="H45" s="56">
        <f>H46</f>
        <v>173.891</v>
      </c>
    </row>
    <row r="46" spans="1:8" ht="33.75" customHeight="1">
      <c r="A46" s="23" t="s">
        <v>188</v>
      </c>
      <c r="B46" s="11" t="s">
        <v>149</v>
      </c>
      <c r="C46" s="11" t="s">
        <v>377</v>
      </c>
      <c r="D46" s="11" t="s">
        <v>443</v>
      </c>
      <c r="E46" s="11" t="s">
        <v>158</v>
      </c>
      <c r="F46" s="56">
        <f>H46</f>
        <v>173.891</v>
      </c>
      <c r="G46" s="56"/>
      <c r="H46" s="56">
        <f>H47</f>
        <v>173.891</v>
      </c>
    </row>
    <row r="47" spans="1:8" ht="52.5" customHeight="1">
      <c r="A47" s="23" t="s">
        <v>189</v>
      </c>
      <c r="B47" s="11" t="s">
        <v>149</v>
      </c>
      <c r="C47" s="11" t="s">
        <v>377</v>
      </c>
      <c r="D47" s="11" t="s">
        <v>443</v>
      </c>
      <c r="E47" s="11" t="s">
        <v>190</v>
      </c>
      <c r="F47" s="56">
        <f>H47</f>
        <v>173.891</v>
      </c>
      <c r="G47" s="56"/>
      <c r="H47" s="99">
        <v>173.891</v>
      </c>
    </row>
    <row r="48" spans="1:10" ht="63" customHeight="1">
      <c r="A48" s="35" t="s">
        <v>387</v>
      </c>
      <c r="B48" s="51" t="s">
        <v>149</v>
      </c>
      <c r="C48" s="51" t="s">
        <v>162</v>
      </c>
      <c r="D48" s="51" t="s">
        <v>311</v>
      </c>
      <c r="E48" s="51" t="s">
        <v>398</v>
      </c>
      <c r="F48" s="98">
        <f>G48+H48</f>
        <v>8507.63804</v>
      </c>
      <c r="G48" s="98">
        <f>G49</f>
        <v>8507.63804</v>
      </c>
      <c r="H48" s="98">
        <f>H49</f>
        <v>0</v>
      </c>
      <c r="J48" s="126"/>
    </row>
    <row r="49" spans="1:8" ht="33.75" customHeight="1">
      <c r="A49" s="23" t="s">
        <v>347</v>
      </c>
      <c r="B49" s="11" t="s">
        <v>149</v>
      </c>
      <c r="C49" s="11" t="s">
        <v>162</v>
      </c>
      <c r="D49" s="11" t="s">
        <v>17</v>
      </c>
      <c r="E49" s="11" t="s">
        <v>398</v>
      </c>
      <c r="F49" s="56">
        <f t="shared" si="2"/>
        <v>8507.63804</v>
      </c>
      <c r="G49" s="56">
        <f>G50</f>
        <v>8507.63804</v>
      </c>
      <c r="H49" s="56">
        <f>H50</f>
        <v>0</v>
      </c>
    </row>
    <row r="50" spans="1:8" ht="47.25" customHeight="1">
      <c r="A50" s="23" t="s">
        <v>153</v>
      </c>
      <c r="B50" s="11" t="s">
        <v>149</v>
      </c>
      <c r="C50" s="11" t="s">
        <v>162</v>
      </c>
      <c r="D50" s="11" t="s">
        <v>18</v>
      </c>
      <c r="E50" s="11" t="s">
        <v>398</v>
      </c>
      <c r="F50" s="56">
        <f t="shared" si="2"/>
        <v>8507.63804</v>
      </c>
      <c r="G50" s="56">
        <f>G51+G58+G65</f>
        <v>8507.63804</v>
      </c>
      <c r="H50" s="56">
        <f>H51+H58+H65</f>
        <v>0</v>
      </c>
    </row>
    <row r="51" spans="1:9" s="125" customFormat="1" ht="48.75" customHeight="1">
      <c r="A51" s="27" t="s">
        <v>283</v>
      </c>
      <c r="B51" s="24" t="s">
        <v>149</v>
      </c>
      <c r="C51" s="24" t="s">
        <v>162</v>
      </c>
      <c r="D51" s="24" t="s">
        <v>21</v>
      </c>
      <c r="E51" s="24" t="s">
        <v>398</v>
      </c>
      <c r="F51" s="57">
        <f t="shared" si="2"/>
        <v>6721.115999999999</v>
      </c>
      <c r="G51" s="57">
        <f>G52+G54+G56</f>
        <v>6721.115999999999</v>
      </c>
      <c r="H51" s="57">
        <f>SUM(H52:H57)</f>
        <v>0</v>
      </c>
      <c r="I51" s="122"/>
    </row>
    <row r="52" spans="1:8" ht="95.25" customHeight="1">
      <c r="A52" s="23" t="s">
        <v>185</v>
      </c>
      <c r="B52" s="11" t="s">
        <v>149</v>
      </c>
      <c r="C52" s="11" t="s">
        <v>162</v>
      </c>
      <c r="D52" s="11" t="s">
        <v>21</v>
      </c>
      <c r="E52" s="11" t="s">
        <v>154</v>
      </c>
      <c r="F52" s="56">
        <f t="shared" si="2"/>
        <v>5479.85788</v>
      </c>
      <c r="G52" s="56">
        <f>G53</f>
        <v>5479.85788</v>
      </c>
      <c r="H52" s="56"/>
    </row>
    <row r="53" spans="1:8" ht="33" customHeight="1">
      <c r="A53" s="23" t="s">
        <v>187</v>
      </c>
      <c r="B53" s="11" t="s">
        <v>149</v>
      </c>
      <c r="C53" s="11" t="s">
        <v>162</v>
      </c>
      <c r="D53" s="11" t="s">
        <v>21</v>
      </c>
      <c r="E53" s="11" t="s">
        <v>186</v>
      </c>
      <c r="F53" s="56">
        <f t="shared" si="2"/>
        <v>5479.85788</v>
      </c>
      <c r="G53" s="56">
        <f>5911.516-5-260-179.272+117.5+35.5-79.28612-58.1-3</f>
        <v>5479.85788</v>
      </c>
      <c r="H53" s="56"/>
    </row>
    <row r="54" spans="1:8" ht="33" customHeight="1">
      <c r="A54" s="23" t="s">
        <v>188</v>
      </c>
      <c r="B54" s="11" t="s">
        <v>149</v>
      </c>
      <c r="C54" s="11" t="s">
        <v>162</v>
      </c>
      <c r="D54" s="11" t="s">
        <v>21</v>
      </c>
      <c r="E54" s="11" t="s">
        <v>158</v>
      </c>
      <c r="F54" s="56">
        <f t="shared" si="2"/>
        <v>1241.2527400000001</v>
      </c>
      <c r="G54" s="56">
        <f>G55</f>
        <v>1241.2527400000001</v>
      </c>
      <c r="H54" s="56"/>
    </row>
    <row r="55" spans="1:10" ht="48" customHeight="1">
      <c r="A55" s="23" t="s">
        <v>189</v>
      </c>
      <c r="B55" s="11" t="s">
        <v>149</v>
      </c>
      <c r="C55" s="11" t="s">
        <v>162</v>
      </c>
      <c r="D55" s="11" t="s">
        <v>21</v>
      </c>
      <c r="E55" s="11" t="s">
        <v>190</v>
      </c>
      <c r="F55" s="56">
        <f t="shared" si="2"/>
        <v>1241.2527400000001</v>
      </c>
      <c r="G55" s="56">
        <f>959.6-40+179.272-7.61926+150</f>
        <v>1241.2527400000001</v>
      </c>
      <c r="H55" s="56"/>
      <c r="J55" s="130"/>
    </row>
    <row r="56" spans="1:8" ht="17.25" customHeight="1">
      <c r="A56" s="23" t="s">
        <v>193</v>
      </c>
      <c r="B56" s="11" t="s">
        <v>149</v>
      </c>
      <c r="C56" s="11" t="s">
        <v>162</v>
      </c>
      <c r="D56" s="11" t="s">
        <v>21</v>
      </c>
      <c r="E56" s="11" t="s">
        <v>194</v>
      </c>
      <c r="F56" s="56">
        <f t="shared" si="2"/>
        <v>0.00537999999999994</v>
      </c>
      <c r="G56" s="56">
        <f>G57</f>
        <v>0.00537999999999994</v>
      </c>
      <c r="H56" s="56"/>
    </row>
    <row r="57" spans="1:8" ht="17.25" customHeight="1">
      <c r="A57" s="23" t="s">
        <v>191</v>
      </c>
      <c r="B57" s="11" t="s">
        <v>149</v>
      </c>
      <c r="C57" s="11" t="s">
        <v>162</v>
      </c>
      <c r="D57" s="11" t="s">
        <v>21</v>
      </c>
      <c r="E57" s="11" t="s">
        <v>192</v>
      </c>
      <c r="F57" s="56">
        <f t="shared" si="2"/>
        <v>0.00537999999999994</v>
      </c>
      <c r="G57" s="56">
        <f>2-1.99462</f>
        <v>0.00537999999999994</v>
      </c>
      <c r="H57" s="56"/>
    </row>
    <row r="58" spans="1:9" s="125" customFormat="1" ht="48" customHeight="1">
      <c r="A58" s="27" t="s">
        <v>163</v>
      </c>
      <c r="B58" s="24" t="s">
        <v>149</v>
      </c>
      <c r="C58" s="24" t="s">
        <v>162</v>
      </c>
      <c r="D58" s="24" t="s">
        <v>21</v>
      </c>
      <c r="E58" s="24" t="s">
        <v>398</v>
      </c>
      <c r="F58" s="57">
        <f t="shared" si="2"/>
        <v>158.8</v>
      </c>
      <c r="G58" s="57">
        <f>G61+G63+G59</f>
        <v>158.8</v>
      </c>
      <c r="H58" s="57"/>
      <c r="I58" s="139"/>
    </row>
    <row r="59" spans="1:9" s="125" customFormat="1" ht="100.5" customHeight="1" hidden="1">
      <c r="A59" s="23" t="s">
        <v>185</v>
      </c>
      <c r="B59" s="11" t="s">
        <v>149</v>
      </c>
      <c r="C59" s="11" t="s">
        <v>162</v>
      </c>
      <c r="D59" s="11" t="s">
        <v>22</v>
      </c>
      <c r="E59" s="11" t="s">
        <v>154</v>
      </c>
      <c r="F59" s="56">
        <f>G59+H59</f>
        <v>0</v>
      </c>
      <c r="G59" s="56">
        <f>G60</f>
        <v>0</v>
      </c>
      <c r="H59" s="57"/>
      <c r="I59" s="139"/>
    </row>
    <row r="60" spans="1:9" s="125" customFormat="1" ht="48" customHeight="1" hidden="1">
      <c r="A60" s="23" t="s">
        <v>187</v>
      </c>
      <c r="B60" s="11" t="s">
        <v>149</v>
      </c>
      <c r="C60" s="11" t="s">
        <v>162</v>
      </c>
      <c r="D60" s="11" t="s">
        <v>22</v>
      </c>
      <c r="E60" s="11" t="s">
        <v>186</v>
      </c>
      <c r="F60" s="56">
        <f>G60+H60</f>
        <v>0</v>
      </c>
      <c r="G60" s="56">
        <f>634.785+191.705-100-726.49</f>
        <v>0</v>
      </c>
      <c r="H60" s="57"/>
      <c r="I60" s="139"/>
    </row>
    <row r="61" spans="1:8" ht="34.5" customHeight="1">
      <c r="A61" s="23" t="s">
        <v>188</v>
      </c>
      <c r="B61" s="11" t="s">
        <v>149</v>
      </c>
      <c r="C61" s="11" t="s">
        <v>162</v>
      </c>
      <c r="D61" s="11" t="s">
        <v>21</v>
      </c>
      <c r="E61" s="11" t="s">
        <v>158</v>
      </c>
      <c r="F61" s="56">
        <f t="shared" si="2"/>
        <v>156.8</v>
      </c>
      <c r="G61" s="56">
        <f>G62</f>
        <v>156.8</v>
      </c>
      <c r="H61" s="56"/>
    </row>
    <row r="62" spans="1:8" ht="45.75" customHeight="1">
      <c r="A62" s="23" t="s">
        <v>189</v>
      </c>
      <c r="B62" s="11" t="s">
        <v>149</v>
      </c>
      <c r="C62" s="11" t="s">
        <v>162</v>
      </c>
      <c r="D62" s="11" t="s">
        <v>21</v>
      </c>
      <c r="E62" s="11" t="s">
        <v>190</v>
      </c>
      <c r="F62" s="56">
        <f t="shared" si="2"/>
        <v>156.8</v>
      </c>
      <c r="G62" s="56">
        <f>61.8+50+45+100-100</f>
        <v>156.8</v>
      </c>
      <c r="H62" s="56"/>
    </row>
    <row r="63" spans="1:8" ht="16.5" customHeight="1">
      <c r="A63" s="23" t="s">
        <v>193</v>
      </c>
      <c r="B63" s="11" t="s">
        <v>149</v>
      </c>
      <c r="C63" s="11" t="s">
        <v>162</v>
      </c>
      <c r="D63" s="11" t="s">
        <v>21</v>
      </c>
      <c r="E63" s="11" t="s">
        <v>194</v>
      </c>
      <c r="F63" s="56">
        <f t="shared" si="2"/>
        <v>2</v>
      </c>
      <c r="G63" s="56">
        <f>G64</f>
        <v>2</v>
      </c>
      <c r="H63" s="56"/>
    </row>
    <row r="64" spans="1:8" ht="17.25" customHeight="1">
      <c r="A64" s="52" t="s">
        <v>191</v>
      </c>
      <c r="B64" s="11" t="s">
        <v>149</v>
      </c>
      <c r="C64" s="11" t="s">
        <v>162</v>
      </c>
      <c r="D64" s="11" t="s">
        <v>21</v>
      </c>
      <c r="E64" s="11" t="s">
        <v>192</v>
      </c>
      <c r="F64" s="56">
        <f t="shared" si="2"/>
        <v>2</v>
      </c>
      <c r="G64" s="56">
        <v>2</v>
      </c>
      <c r="H64" s="56"/>
    </row>
    <row r="65" spans="1:8" s="125" customFormat="1" ht="16.5" customHeight="1">
      <c r="A65" s="27" t="s">
        <v>164</v>
      </c>
      <c r="B65" s="24" t="s">
        <v>149</v>
      </c>
      <c r="C65" s="24" t="s">
        <v>162</v>
      </c>
      <c r="D65" s="24" t="s">
        <v>22</v>
      </c>
      <c r="E65" s="24" t="s">
        <v>398</v>
      </c>
      <c r="F65" s="57">
        <f t="shared" si="2"/>
        <v>1627.7220399999999</v>
      </c>
      <c r="G65" s="57">
        <f>G67</f>
        <v>1627.7220399999999</v>
      </c>
      <c r="H65" s="57">
        <f>H67</f>
        <v>0</v>
      </c>
    </row>
    <row r="66" spans="1:9" ht="94.5" customHeight="1">
      <c r="A66" s="23" t="s">
        <v>185</v>
      </c>
      <c r="B66" s="11" t="s">
        <v>149</v>
      </c>
      <c r="C66" s="11" t="s">
        <v>162</v>
      </c>
      <c r="D66" s="11" t="s">
        <v>22</v>
      </c>
      <c r="E66" s="11" t="s">
        <v>154</v>
      </c>
      <c r="F66" s="56">
        <f t="shared" si="2"/>
        <v>1627.7220399999999</v>
      </c>
      <c r="G66" s="56">
        <f>G67</f>
        <v>1627.7220399999999</v>
      </c>
      <c r="H66" s="56"/>
      <c r="I66" s="312"/>
    </row>
    <row r="67" spans="1:8" ht="34.5" customHeight="1">
      <c r="A67" s="23" t="s">
        <v>187</v>
      </c>
      <c r="B67" s="11" t="s">
        <v>149</v>
      </c>
      <c r="C67" s="11" t="s">
        <v>162</v>
      </c>
      <c r="D67" s="11" t="s">
        <v>22</v>
      </c>
      <c r="E67" s="11" t="s">
        <v>186</v>
      </c>
      <c r="F67" s="56">
        <f t="shared" si="2"/>
        <v>1627.7220399999999</v>
      </c>
      <c r="G67" s="56">
        <f>1209.475+365.261+52.98604</f>
        <v>1627.7220399999999</v>
      </c>
      <c r="H67" s="56"/>
    </row>
    <row r="68" spans="1:8" ht="18.75" customHeight="1" hidden="1">
      <c r="A68" s="23" t="s">
        <v>165</v>
      </c>
      <c r="B68" s="11" t="s">
        <v>149</v>
      </c>
      <c r="C68" s="11" t="s">
        <v>166</v>
      </c>
      <c r="D68" s="11" t="s">
        <v>397</v>
      </c>
      <c r="E68" s="11" t="s">
        <v>398</v>
      </c>
      <c r="F68" s="56">
        <f>G68+H68</f>
        <v>0</v>
      </c>
      <c r="G68" s="56">
        <f>G69</f>
        <v>0</v>
      </c>
      <c r="H68" s="56">
        <f>H69</f>
        <v>0</v>
      </c>
    </row>
    <row r="69" spans="1:8" ht="33" customHeight="1" hidden="1">
      <c r="A69" s="23" t="s">
        <v>167</v>
      </c>
      <c r="B69" s="11" t="s">
        <v>149</v>
      </c>
      <c r="C69" s="11" t="s">
        <v>166</v>
      </c>
      <c r="D69" s="11" t="s">
        <v>276</v>
      </c>
      <c r="E69" s="11" t="s">
        <v>398</v>
      </c>
      <c r="F69" s="56">
        <f t="shared" si="2"/>
        <v>0</v>
      </c>
      <c r="G69" s="56">
        <f>G71</f>
        <v>0</v>
      </c>
      <c r="H69" s="56">
        <f>H71</f>
        <v>0</v>
      </c>
    </row>
    <row r="70" spans="1:8" ht="16.5" customHeight="1" hidden="1">
      <c r="A70" s="23" t="s">
        <v>193</v>
      </c>
      <c r="B70" s="11" t="s">
        <v>149</v>
      </c>
      <c r="C70" s="11" t="s">
        <v>166</v>
      </c>
      <c r="D70" s="11" t="s">
        <v>276</v>
      </c>
      <c r="E70" s="11" t="s">
        <v>194</v>
      </c>
      <c r="F70" s="56">
        <f t="shared" si="2"/>
        <v>0</v>
      </c>
      <c r="G70" s="56">
        <f>G71</f>
        <v>0</v>
      </c>
      <c r="H70" s="56"/>
    </row>
    <row r="71" spans="1:8" ht="18.75" customHeight="1" hidden="1">
      <c r="A71" s="23" t="s">
        <v>195</v>
      </c>
      <c r="B71" s="11" t="s">
        <v>149</v>
      </c>
      <c r="C71" s="11" t="s">
        <v>166</v>
      </c>
      <c r="D71" s="11" t="s">
        <v>276</v>
      </c>
      <c r="E71" s="11" t="s">
        <v>196</v>
      </c>
      <c r="F71" s="56">
        <f t="shared" si="2"/>
        <v>0</v>
      </c>
      <c r="G71" s="56">
        <v>0</v>
      </c>
      <c r="H71" s="56"/>
    </row>
    <row r="72" spans="1:8" ht="39" customHeight="1" hidden="1">
      <c r="A72" s="53" t="s">
        <v>482</v>
      </c>
      <c r="B72" s="51" t="s">
        <v>149</v>
      </c>
      <c r="C72" s="51" t="s">
        <v>380</v>
      </c>
      <c r="D72" s="51" t="s">
        <v>311</v>
      </c>
      <c r="E72" s="51" t="s">
        <v>398</v>
      </c>
      <c r="F72" s="98">
        <f t="shared" si="2"/>
        <v>0</v>
      </c>
      <c r="G72" s="98">
        <f>G73</f>
        <v>0</v>
      </c>
      <c r="H72" s="98"/>
    </row>
    <row r="73" spans="1:8" ht="39" customHeight="1" hidden="1">
      <c r="A73" s="23" t="s">
        <v>483</v>
      </c>
      <c r="B73" s="11" t="s">
        <v>149</v>
      </c>
      <c r="C73" s="11" t="s">
        <v>380</v>
      </c>
      <c r="D73" s="11" t="s">
        <v>17</v>
      </c>
      <c r="E73" s="11" t="s">
        <v>398</v>
      </c>
      <c r="F73" s="56">
        <f t="shared" si="2"/>
        <v>0</v>
      </c>
      <c r="G73" s="56">
        <f>G74</f>
        <v>0</v>
      </c>
      <c r="H73" s="56"/>
    </row>
    <row r="74" spans="1:8" ht="39" customHeight="1" hidden="1">
      <c r="A74" s="23" t="s">
        <v>153</v>
      </c>
      <c r="B74" s="11" t="s">
        <v>149</v>
      </c>
      <c r="C74" s="11" t="s">
        <v>380</v>
      </c>
      <c r="D74" s="11" t="s">
        <v>18</v>
      </c>
      <c r="E74" s="11" t="s">
        <v>398</v>
      </c>
      <c r="F74" s="56">
        <f t="shared" si="2"/>
        <v>0</v>
      </c>
      <c r="G74" s="56">
        <f>G75</f>
        <v>0</v>
      </c>
      <c r="H74" s="56"/>
    </row>
    <row r="75" spans="1:8" ht="39" customHeight="1" hidden="1">
      <c r="A75" s="23" t="s">
        <v>484</v>
      </c>
      <c r="B75" s="11" t="s">
        <v>149</v>
      </c>
      <c r="C75" s="11" t="s">
        <v>380</v>
      </c>
      <c r="D75" s="11" t="s">
        <v>485</v>
      </c>
      <c r="E75" s="11" t="s">
        <v>398</v>
      </c>
      <c r="F75" s="56">
        <f t="shared" si="2"/>
        <v>0</v>
      </c>
      <c r="G75" s="56">
        <f>G76</f>
        <v>0</v>
      </c>
      <c r="H75" s="56"/>
    </row>
    <row r="76" spans="1:8" ht="39" customHeight="1" hidden="1">
      <c r="A76" s="23" t="s">
        <v>193</v>
      </c>
      <c r="B76" s="11" t="s">
        <v>149</v>
      </c>
      <c r="C76" s="11" t="s">
        <v>380</v>
      </c>
      <c r="D76" s="11" t="s">
        <v>485</v>
      </c>
      <c r="E76" s="11" t="s">
        <v>194</v>
      </c>
      <c r="F76" s="56">
        <f t="shared" si="2"/>
        <v>0</v>
      </c>
      <c r="G76" s="56">
        <f>G77</f>
        <v>0</v>
      </c>
      <c r="H76" s="56"/>
    </row>
    <row r="77" spans="1:8" ht="17.25" customHeight="1" hidden="1">
      <c r="A77" s="179" t="s">
        <v>527</v>
      </c>
      <c r="B77" s="11" t="s">
        <v>149</v>
      </c>
      <c r="C77" s="11" t="s">
        <v>380</v>
      </c>
      <c r="D77" s="11" t="s">
        <v>485</v>
      </c>
      <c r="E77" s="11" t="s">
        <v>528</v>
      </c>
      <c r="F77" s="56">
        <f t="shared" si="2"/>
        <v>0</v>
      </c>
      <c r="G77" s="56">
        <v>0</v>
      </c>
      <c r="H77" s="56"/>
    </row>
    <row r="78" spans="1:8" ht="19.5" customHeight="1">
      <c r="A78" s="53" t="s">
        <v>165</v>
      </c>
      <c r="B78" s="51" t="s">
        <v>149</v>
      </c>
      <c r="C78" s="51" t="s">
        <v>166</v>
      </c>
      <c r="D78" s="51" t="s">
        <v>311</v>
      </c>
      <c r="E78" s="51" t="s">
        <v>398</v>
      </c>
      <c r="F78" s="98">
        <f t="shared" si="2"/>
        <v>2877.0869199999997</v>
      </c>
      <c r="G78" s="98">
        <f>G79</f>
        <v>2877.0869199999997</v>
      </c>
      <c r="H78" s="98"/>
    </row>
    <row r="79" spans="1:8" ht="33.75" customHeight="1">
      <c r="A79" s="180" t="s">
        <v>152</v>
      </c>
      <c r="B79" s="11" t="s">
        <v>149</v>
      </c>
      <c r="C79" s="11" t="s">
        <v>166</v>
      </c>
      <c r="D79" s="72" t="s">
        <v>17</v>
      </c>
      <c r="E79" s="72" t="s">
        <v>398</v>
      </c>
      <c r="F79" s="56">
        <f t="shared" si="2"/>
        <v>2877.0869199999997</v>
      </c>
      <c r="G79" s="56">
        <f>G80</f>
        <v>2877.0869199999997</v>
      </c>
      <c r="H79" s="56"/>
    </row>
    <row r="80" spans="1:8" ht="49.5" customHeight="1">
      <c r="A80" s="180" t="s">
        <v>153</v>
      </c>
      <c r="B80" s="11" t="s">
        <v>149</v>
      </c>
      <c r="C80" s="11" t="s">
        <v>166</v>
      </c>
      <c r="D80" s="72" t="s">
        <v>18</v>
      </c>
      <c r="E80" s="72" t="s">
        <v>398</v>
      </c>
      <c r="F80" s="56">
        <f t="shared" si="2"/>
        <v>2877.0869199999997</v>
      </c>
      <c r="G80" s="56">
        <f>G81</f>
        <v>2877.0869199999997</v>
      </c>
      <c r="H80" s="56"/>
    </row>
    <row r="81" spans="1:8" ht="33" customHeight="1">
      <c r="A81" s="180" t="s">
        <v>529</v>
      </c>
      <c r="B81" s="11" t="s">
        <v>149</v>
      </c>
      <c r="C81" s="11" t="s">
        <v>166</v>
      </c>
      <c r="D81" s="11" t="s">
        <v>530</v>
      </c>
      <c r="E81" s="72" t="s">
        <v>398</v>
      </c>
      <c r="F81" s="56">
        <f t="shared" si="2"/>
        <v>2877.0869199999997</v>
      </c>
      <c r="G81" s="56">
        <f>G82</f>
        <v>2877.0869199999997</v>
      </c>
      <c r="H81" s="56"/>
    </row>
    <row r="82" spans="1:8" ht="20.25" customHeight="1">
      <c r="A82" s="180" t="s">
        <v>193</v>
      </c>
      <c r="B82" s="11" t="s">
        <v>149</v>
      </c>
      <c r="C82" s="11" t="s">
        <v>166</v>
      </c>
      <c r="D82" s="11" t="s">
        <v>530</v>
      </c>
      <c r="E82" s="72" t="s">
        <v>194</v>
      </c>
      <c r="F82" s="56">
        <f t="shared" si="2"/>
        <v>2877.0869199999997</v>
      </c>
      <c r="G82" s="56">
        <f>G83</f>
        <v>2877.0869199999997</v>
      </c>
      <c r="H82" s="56"/>
    </row>
    <row r="83" spans="1:8" ht="18" customHeight="1">
      <c r="A83" s="180" t="s">
        <v>195</v>
      </c>
      <c r="B83" s="11" t="s">
        <v>149</v>
      </c>
      <c r="C83" s="11" t="s">
        <v>166</v>
      </c>
      <c r="D83" s="11" t="s">
        <v>530</v>
      </c>
      <c r="E83" s="72" t="s">
        <v>196</v>
      </c>
      <c r="F83" s="56">
        <f t="shared" si="2"/>
        <v>2877.0869199999997</v>
      </c>
      <c r="G83" s="56">
        <f>500-14.84-120+8000-20-5274.073-122-20-70+17.99992</f>
        <v>2877.0869199999997</v>
      </c>
      <c r="H83" s="56"/>
    </row>
    <row r="84" spans="1:10" ht="18.75" customHeight="1">
      <c r="A84" s="54" t="s">
        <v>346</v>
      </c>
      <c r="B84" s="16" t="s">
        <v>149</v>
      </c>
      <c r="C84" s="16" t="s">
        <v>168</v>
      </c>
      <c r="D84" s="16" t="s">
        <v>311</v>
      </c>
      <c r="E84" s="16" t="s">
        <v>398</v>
      </c>
      <c r="F84" s="101">
        <f t="shared" si="2"/>
        <v>12155.165939999999</v>
      </c>
      <c r="G84" s="101">
        <f>G85+G122+G170+G188+G111+G191+G194+G211+G214+G203</f>
        <v>6517.305689999999</v>
      </c>
      <c r="H84" s="101">
        <f>H85</f>
        <v>5637.86025</v>
      </c>
      <c r="J84" s="126"/>
    </row>
    <row r="85" spans="1:8" ht="17.25" customHeight="1">
      <c r="A85" s="23" t="s">
        <v>169</v>
      </c>
      <c r="B85" s="11" t="s">
        <v>149</v>
      </c>
      <c r="C85" s="11" t="s">
        <v>168</v>
      </c>
      <c r="D85" s="11" t="s">
        <v>311</v>
      </c>
      <c r="E85" s="11" t="s">
        <v>398</v>
      </c>
      <c r="F85" s="56">
        <f t="shared" si="2"/>
        <v>5637.86025</v>
      </c>
      <c r="G85" s="56">
        <f>G86+G91+G96+G101+G106</f>
        <v>0</v>
      </c>
      <c r="H85" s="56">
        <f>H86+H91+H96+H101+H106+H145+H109</f>
        <v>5637.86025</v>
      </c>
    </row>
    <row r="86" spans="1:10" s="125" customFormat="1" ht="64.5" customHeight="1">
      <c r="A86" s="27" t="s">
        <v>170</v>
      </c>
      <c r="B86" s="24" t="s">
        <v>149</v>
      </c>
      <c r="C86" s="24" t="s">
        <v>168</v>
      </c>
      <c r="D86" s="24" t="s">
        <v>23</v>
      </c>
      <c r="E86" s="24" t="s">
        <v>398</v>
      </c>
      <c r="F86" s="57">
        <f t="shared" si="2"/>
        <v>830.909</v>
      </c>
      <c r="G86" s="57">
        <f>SUM(G87:G90)</f>
        <v>0</v>
      </c>
      <c r="H86" s="57">
        <f>H87+H89</f>
        <v>830.909</v>
      </c>
      <c r="J86" s="131"/>
    </row>
    <row r="87" spans="1:9" ht="96" customHeight="1">
      <c r="A87" s="23" t="s">
        <v>185</v>
      </c>
      <c r="B87" s="11" t="s">
        <v>149</v>
      </c>
      <c r="C87" s="11" t="s">
        <v>168</v>
      </c>
      <c r="D87" s="11" t="s">
        <v>23</v>
      </c>
      <c r="E87" s="11" t="s">
        <v>154</v>
      </c>
      <c r="F87" s="56">
        <f t="shared" si="2"/>
        <v>579.34028</v>
      </c>
      <c r="G87" s="56"/>
      <c r="H87" s="56">
        <f>H88</f>
        <v>579.34028</v>
      </c>
      <c r="I87" s="130"/>
    </row>
    <row r="88" spans="1:8" ht="33" customHeight="1">
      <c r="A88" s="44" t="s">
        <v>187</v>
      </c>
      <c r="B88" s="11" t="s">
        <v>149</v>
      </c>
      <c r="C88" s="11" t="s">
        <v>168</v>
      </c>
      <c r="D88" s="11" t="s">
        <v>23</v>
      </c>
      <c r="E88" s="11" t="s">
        <v>186</v>
      </c>
      <c r="F88" s="56">
        <f t="shared" si="2"/>
        <v>579.34028</v>
      </c>
      <c r="G88" s="56"/>
      <c r="H88" s="56">
        <f>565.374+14-0.03372</f>
        <v>579.34028</v>
      </c>
    </row>
    <row r="89" spans="1:8" ht="33.75" customHeight="1">
      <c r="A89" s="23" t="s">
        <v>188</v>
      </c>
      <c r="B89" s="11" t="s">
        <v>149</v>
      </c>
      <c r="C89" s="11" t="s">
        <v>168</v>
      </c>
      <c r="D89" s="11" t="s">
        <v>23</v>
      </c>
      <c r="E89" s="11" t="s">
        <v>158</v>
      </c>
      <c r="F89" s="56">
        <f t="shared" si="2"/>
        <v>251.56872</v>
      </c>
      <c r="G89" s="56"/>
      <c r="H89" s="56">
        <f>H90</f>
        <v>251.56872</v>
      </c>
    </row>
    <row r="90" spans="1:8" ht="48.75" customHeight="1">
      <c r="A90" s="44" t="s">
        <v>189</v>
      </c>
      <c r="B90" s="11" t="s">
        <v>149</v>
      </c>
      <c r="C90" s="11" t="s">
        <v>168</v>
      </c>
      <c r="D90" s="11" t="s">
        <v>23</v>
      </c>
      <c r="E90" s="11" t="s">
        <v>190</v>
      </c>
      <c r="F90" s="56">
        <f t="shared" si="2"/>
        <v>251.56872</v>
      </c>
      <c r="G90" s="56"/>
      <c r="H90" s="56">
        <f>265.535-14+0.03372</f>
        <v>251.56872</v>
      </c>
    </row>
    <row r="91" spans="1:10" s="140" customFormat="1" ht="48" customHeight="1">
      <c r="A91" s="27" t="s">
        <v>408</v>
      </c>
      <c r="B91" s="24" t="s">
        <v>149</v>
      </c>
      <c r="C91" s="24" t="s">
        <v>168</v>
      </c>
      <c r="D91" s="4" t="s">
        <v>759</v>
      </c>
      <c r="E91" s="24" t="s">
        <v>398</v>
      </c>
      <c r="F91" s="57">
        <f t="shared" si="2"/>
        <v>1256.2749999999999</v>
      </c>
      <c r="G91" s="57">
        <f>SUM(G92:G95)</f>
        <v>0</v>
      </c>
      <c r="H91" s="57">
        <f>H92+H94</f>
        <v>1256.2749999999999</v>
      </c>
      <c r="J91" s="141"/>
    </row>
    <row r="92" spans="1:8" s="143" customFormat="1" ht="96.75" customHeight="1">
      <c r="A92" s="23" t="s">
        <v>185</v>
      </c>
      <c r="B92" s="11" t="s">
        <v>149</v>
      </c>
      <c r="C92" s="11" t="s">
        <v>168</v>
      </c>
      <c r="D92" s="11" t="s">
        <v>759</v>
      </c>
      <c r="E92" s="11" t="s">
        <v>154</v>
      </c>
      <c r="F92" s="56">
        <f t="shared" si="2"/>
        <v>1178.96571</v>
      </c>
      <c r="G92" s="101"/>
      <c r="H92" s="56">
        <f>H93</f>
        <v>1178.96571</v>
      </c>
    </row>
    <row r="93" spans="1:8" ht="31.5" customHeight="1">
      <c r="A93" s="44" t="s">
        <v>187</v>
      </c>
      <c r="B93" s="11" t="s">
        <v>149</v>
      </c>
      <c r="C93" s="11" t="s">
        <v>168</v>
      </c>
      <c r="D93" s="11" t="s">
        <v>759</v>
      </c>
      <c r="E93" s="11" t="s">
        <v>186</v>
      </c>
      <c r="F93" s="56">
        <f t="shared" si="2"/>
        <v>1178.96571</v>
      </c>
      <c r="G93" s="56"/>
      <c r="H93" s="56">
        <f>1206.34-27.37429</f>
        <v>1178.96571</v>
      </c>
    </row>
    <row r="94" spans="1:8" ht="33.75" customHeight="1">
      <c r="A94" s="23" t="s">
        <v>188</v>
      </c>
      <c r="B94" s="11" t="s">
        <v>149</v>
      </c>
      <c r="C94" s="11" t="s">
        <v>168</v>
      </c>
      <c r="D94" s="11" t="s">
        <v>759</v>
      </c>
      <c r="E94" s="11" t="s">
        <v>158</v>
      </c>
      <c r="F94" s="56">
        <f t="shared" si="2"/>
        <v>77.30929</v>
      </c>
      <c r="G94" s="56"/>
      <c r="H94" s="56">
        <f>H95</f>
        <v>77.30929</v>
      </c>
    </row>
    <row r="95" spans="1:8" ht="49.5" customHeight="1">
      <c r="A95" s="44" t="s">
        <v>189</v>
      </c>
      <c r="B95" s="11" t="s">
        <v>149</v>
      </c>
      <c r="C95" s="11" t="s">
        <v>168</v>
      </c>
      <c r="D95" s="11" t="s">
        <v>759</v>
      </c>
      <c r="E95" s="11" t="s">
        <v>190</v>
      </c>
      <c r="F95" s="56">
        <f t="shared" si="2"/>
        <v>77.30929</v>
      </c>
      <c r="G95" s="56"/>
      <c r="H95" s="56">
        <f>49.935+27.37429</f>
        <v>77.30929</v>
      </c>
    </row>
    <row r="96" spans="1:10" s="125" customFormat="1" ht="49.5" customHeight="1">
      <c r="A96" s="27" t="s">
        <v>171</v>
      </c>
      <c r="B96" s="24" t="s">
        <v>149</v>
      </c>
      <c r="C96" s="24" t="s">
        <v>168</v>
      </c>
      <c r="D96" s="24" t="s">
        <v>759</v>
      </c>
      <c r="E96" s="24" t="s">
        <v>398</v>
      </c>
      <c r="F96" s="57">
        <f t="shared" si="2"/>
        <v>803.815</v>
      </c>
      <c r="G96" s="57">
        <f>SUM(G97:G100)</f>
        <v>0</v>
      </c>
      <c r="H96" s="57">
        <f>H97+H99</f>
        <v>803.815</v>
      </c>
      <c r="J96" s="131"/>
    </row>
    <row r="97" spans="1:11" ht="97.5" customHeight="1">
      <c r="A97" s="23" t="s">
        <v>185</v>
      </c>
      <c r="B97" s="11" t="s">
        <v>149</v>
      </c>
      <c r="C97" s="11" t="s">
        <v>168</v>
      </c>
      <c r="D97" s="11" t="s">
        <v>759</v>
      </c>
      <c r="E97" s="11" t="s">
        <v>154</v>
      </c>
      <c r="F97" s="56">
        <f t="shared" si="2"/>
        <v>741.73243</v>
      </c>
      <c r="G97" s="56"/>
      <c r="H97" s="56">
        <f>H98</f>
        <v>741.73243</v>
      </c>
      <c r="J97" s="126"/>
      <c r="K97" s="126"/>
    </row>
    <row r="98" spans="1:10" ht="31.5" customHeight="1">
      <c r="A98" s="44" t="s">
        <v>187</v>
      </c>
      <c r="B98" s="11" t="s">
        <v>149</v>
      </c>
      <c r="C98" s="11" t="s">
        <v>168</v>
      </c>
      <c r="D98" s="11" t="s">
        <v>759</v>
      </c>
      <c r="E98" s="11" t="s">
        <v>186</v>
      </c>
      <c r="F98" s="56">
        <f t="shared" si="2"/>
        <v>741.73243</v>
      </c>
      <c r="G98" s="56"/>
      <c r="H98" s="56">
        <f>753.327-11.59457</f>
        <v>741.73243</v>
      </c>
      <c r="J98" s="126"/>
    </row>
    <row r="99" spans="1:8" ht="35.25" customHeight="1">
      <c r="A99" s="23" t="s">
        <v>188</v>
      </c>
      <c r="B99" s="11" t="s">
        <v>149</v>
      </c>
      <c r="C99" s="11" t="s">
        <v>168</v>
      </c>
      <c r="D99" s="11" t="s">
        <v>759</v>
      </c>
      <c r="E99" s="11" t="s">
        <v>158</v>
      </c>
      <c r="F99" s="56">
        <f t="shared" si="2"/>
        <v>62.08257</v>
      </c>
      <c r="G99" s="56"/>
      <c r="H99" s="56">
        <f>H100</f>
        <v>62.08257</v>
      </c>
    </row>
    <row r="100" spans="1:8" ht="48" customHeight="1">
      <c r="A100" s="44" t="s">
        <v>189</v>
      </c>
      <c r="B100" s="11" t="s">
        <v>149</v>
      </c>
      <c r="C100" s="11" t="s">
        <v>168</v>
      </c>
      <c r="D100" s="11" t="s">
        <v>759</v>
      </c>
      <c r="E100" s="11" t="s">
        <v>190</v>
      </c>
      <c r="F100" s="56">
        <f t="shared" si="2"/>
        <v>62.08257</v>
      </c>
      <c r="G100" s="56"/>
      <c r="H100" s="56">
        <f>50.488+11.59457</f>
        <v>62.08257</v>
      </c>
    </row>
    <row r="101" spans="1:10" s="125" customFormat="1" ht="108.75" customHeight="1">
      <c r="A101" s="27" t="s">
        <v>24</v>
      </c>
      <c r="B101" s="24" t="s">
        <v>149</v>
      </c>
      <c r="C101" s="24" t="s">
        <v>168</v>
      </c>
      <c r="D101" s="24" t="s">
        <v>312</v>
      </c>
      <c r="E101" s="24" t="s">
        <v>398</v>
      </c>
      <c r="F101" s="57">
        <f t="shared" si="2"/>
        <v>1509.632</v>
      </c>
      <c r="G101" s="57">
        <f>SUM(G102:G105)</f>
        <v>0</v>
      </c>
      <c r="H101" s="57">
        <f>H102+H104</f>
        <v>1509.632</v>
      </c>
      <c r="I101" s="142"/>
      <c r="J101" s="142"/>
    </row>
    <row r="102" spans="1:10" ht="96" customHeight="1">
      <c r="A102" s="23" t="s">
        <v>185</v>
      </c>
      <c r="B102" s="11" t="s">
        <v>149</v>
      </c>
      <c r="C102" s="11" t="s">
        <v>168</v>
      </c>
      <c r="D102" s="11" t="s">
        <v>312</v>
      </c>
      <c r="E102" s="11" t="s">
        <v>154</v>
      </c>
      <c r="F102" s="56">
        <f t="shared" si="2"/>
        <v>1386.40203</v>
      </c>
      <c r="G102" s="56"/>
      <c r="H102" s="56">
        <f>H103</f>
        <v>1386.40203</v>
      </c>
      <c r="I102" s="313"/>
      <c r="J102" s="313"/>
    </row>
    <row r="103" spans="1:10" ht="31.5" customHeight="1">
      <c r="A103" s="44" t="s">
        <v>187</v>
      </c>
      <c r="B103" s="11" t="s">
        <v>149</v>
      </c>
      <c r="C103" s="11" t="s">
        <v>168</v>
      </c>
      <c r="D103" s="11" t="s">
        <v>312</v>
      </c>
      <c r="E103" s="11" t="s">
        <v>186</v>
      </c>
      <c r="F103" s="56">
        <f t="shared" si="2"/>
        <v>1386.40203</v>
      </c>
      <c r="G103" s="56"/>
      <c r="H103" s="56">
        <f>1332.423+61.365-8.83597+1.45</f>
        <v>1386.40203</v>
      </c>
      <c r="I103" s="313"/>
      <c r="J103" s="313"/>
    </row>
    <row r="104" spans="1:10" ht="33" customHeight="1">
      <c r="A104" s="23" t="s">
        <v>188</v>
      </c>
      <c r="B104" s="11" t="s">
        <v>149</v>
      </c>
      <c r="C104" s="11" t="s">
        <v>168</v>
      </c>
      <c r="D104" s="11" t="s">
        <v>312</v>
      </c>
      <c r="E104" s="11" t="s">
        <v>158</v>
      </c>
      <c r="F104" s="56">
        <f t="shared" si="2"/>
        <v>123.22997000000001</v>
      </c>
      <c r="G104" s="56"/>
      <c r="H104" s="56">
        <f>H105</f>
        <v>123.22997000000001</v>
      </c>
      <c r="I104" s="313"/>
      <c r="J104" s="313"/>
    </row>
    <row r="105" spans="1:10" ht="47.25" customHeight="1">
      <c r="A105" s="44" t="s">
        <v>189</v>
      </c>
      <c r="B105" s="11" t="s">
        <v>149</v>
      </c>
      <c r="C105" s="11" t="s">
        <v>168</v>
      </c>
      <c r="D105" s="11" t="s">
        <v>312</v>
      </c>
      <c r="E105" s="11" t="s">
        <v>190</v>
      </c>
      <c r="F105" s="56">
        <f t="shared" si="2"/>
        <v>123.22997000000001</v>
      </c>
      <c r="G105" s="56"/>
      <c r="H105" s="56">
        <f>110.18+14.49997-1.45</f>
        <v>123.22997000000001</v>
      </c>
      <c r="I105" s="313"/>
      <c r="J105" s="313"/>
    </row>
    <row r="106" spans="1:10" ht="78" customHeight="1">
      <c r="A106" s="39" t="s">
        <v>811</v>
      </c>
      <c r="B106" s="24" t="s">
        <v>149</v>
      </c>
      <c r="C106" s="24" t="s">
        <v>168</v>
      </c>
      <c r="D106" s="24" t="s">
        <v>812</v>
      </c>
      <c r="E106" s="24" t="s">
        <v>398</v>
      </c>
      <c r="F106" s="57">
        <f>G106+H106</f>
        <v>353.579</v>
      </c>
      <c r="G106" s="57"/>
      <c r="H106" s="57">
        <f>H107</f>
        <v>353.579</v>
      </c>
      <c r="I106" s="313"/>
      <c r="J106" s="313"/>
    </row>
    <row r="107" spans="1:10" ht="33" customHeight="1">
      <c r="A107" s="23" t="s">
        <v>188</v>
      </c>
      <c r="B107" s="11" t="s">
        <v>149</v>
      </c>
      <c r="C107" s="11" t="s">
        <v>168</v>
      </c>
      <c r="D107" s="11" t="s">
        <v>812</v>
      </c>
      <c r="E107" s="11" t="s">
        <v>158</v>
      </c>
      <c r="F107" s="56">
        <f>G107+H107</f>
        <v>353.579</v>
      </c>
      <c r="G107" s="56"/>
      <c r="H107" s="56">
        <f>H108</f>
        <v>353.579</v>
      </c>
      <c r="I107" s="313"/>
      <c r="J107" s="313"/>
    </row>
    <row r="108" spans="1:10" ht="48" customHeight="1">
      <c r="A108" s="44" t="s">
        <v>189</v>
      </c>
      <c r="B108" s="11" t="s">
        <v>149</v>
      </c>
      <c r="C108" s="11" t="s">
        <v>168</v>
      </c>
      <c r="D108" s="11" t="s">
        <v>812</v>
      </c>
      <c r="E108" s="11" t="s">
        <v>190</v>
      </c>
      <c r="F108" s="56">
        <f>G108+H108</f>
        <v>353.579</v>
      </c>
      <c r="G108" s="56"/>
      <c r="H108" s="99">
        <v>353.579</v>
      </c>
      <c r="I108" s="313"/>
      <c r="J108" s="313"/>
    </row>
    <row r="109" spans="1:8" ht="35.25" customHeight="1" hidden="1">
      <c r="A109" s="44" t="s">
        <v>758</v>
      </c>
      <c r="B109" s="11" t="s">
        <v>149</v>
      </c>
      <c r="C109" s="11" t="s">
        <v>168</v>
      </c>
      <c r="D109" s="11" t="s">
        <v>760</v>
      </c>
      <c r="E109" s="11" t="s">
        <v>398</v>
      </c>
      <c r="F109" s="56">
        <f t="shared" si="2"/>
        <v>0</v>
      </c>
      <c r="G109" s="56"/>
      <c r="H109" s="56">
        <f>H110</f>
        <v>0</v>
      </c>
    </row>
    <row r="110" spans="1:8" ht="50.25" customHeight="1" hidden="1">
      <c r="A110" s="44" t="s">
        <v>189</v>
      </c>
      <c r="B110" s="11" t="s">
        <v>149</v>
      </c>
      <c r="C110" s="11" t="s">
        <v>168</v>
      </c>
      <c r="D110" s="11" t="s">
        <v>760</v>
      </c>
      <c r="E110" s="11" t="s">
        <v>190</v>
      </c>
      <c r="F110" s="56">
        <f t="shared" si="2"/>
        <v>0</v>
      </c>
      <c r="G110" s="56"/>
      <c r="H110" s="56">
        <v>0</v>
      </c>
    </row>
    <row r="111" spans="1:8" ht="18.75" customHeight="1" hidden="1">
      <c r="A111" s="55" t="s">
        <v>346</v>
      </c>
      <c r="B111" s="11" t="s">
        <v>149</v>
      </c>
      <c r="C111" s="11" t="s">
        <v>168</v>
      </c>
      <c r="D111" s="16" t="s">
        <v>311</v>
      </c>
      <c r="E111" s="16" t="s">
        <v>398</v>
      </c>
      <c r="F111" s="101">
        <f t="shared" si="2"/>
        <v>0</v>
      </c>
      <c r="G111" s="101">
        <f>G116+G113</f>
        <v>0</v>
      </c>
      <c r="H111" s="101">
        <f>H116+H113</f>
        <v>0</v>
      </c>
    </row>
    <row r="112" spans="1:8" s="125" customFormat="1" ht="81" customHeight="1" hidden="1">
      <c r="A112" s="314" t="s">
        <v>419</v>
      </c>
      <c r="B112" s="11" t="s">
        <v>149</v>
      </c>
      <c r="C112" s="11" t="s">
        <v>168</v>
      </c>
      <c r="D112" s="24" t="s">
        <v>34</v>
      </c>
      <c r="E112" s="24" t="s">
        <v>398</v>
      </c>
      <c r="F112" s="56">
        <f>G112+H112</f>
        <v>0</v>
      </c>
      <c r="G112" s="57">
        <f>G113</f>
        <v>0</v>
      </c>
      <c r="H112" s="98"/>
    </row>
    <row r="113" spans="1:8" ht="67.5" customHeight="1" hidden="1">
      <c r="A113" s="44" t="s">
        <v>413</v>
      </c>
      <c r="B113" s="11" t="s">
        <v>149</v>
      </c>
      <c r="C113" s="11" t="s">
        <v>168</v>
      </c>
      <c r="D113" s="11" t="s">
        <v>103</v>
      </c>
      <c r="E113" s="11" t="s">
        <v>212</v>
      </c>
      <c r="F113" s="56">
        <f t="shared" si="2"/>
        <v>0</v>
      </c>
      <c r="G113" s="56">
        <f>G114</f>
        <v>0</v>
      </c>
      <c r="H113" s="101"/>
    </row>
    <row r="114" spans="1:8" ht="51" customHeight="1" hidden="1">
      <c r="A114" s="44" t="s">
        <v>211</v>
      </c>
      <c r="B114" s="11" t="s">
        <v>149</v>
      </c>
      <c r="C114" s="11" t="s">
        <v>168</v>
      </c>
      <c r="D114" s="11" t="s">
        <v>103</v>
      </c>
      <c r="E114" s="11" t="s">
        <v>212</v>
      </c>
      <c r="F114" s="56">
        <f t="shared" si="2"/>
        <v>0</v>
      </c>
      <c r="G114" s="56">
        <f>G115</f>
        <v>0</v>
      </c>
      <c r="H114" s="101"/>
    </row>
    <row r="115" spans="1:8" ht="19.5" customHeight="1" hidden="1">
      <c r="A115" s="44" t="s">
        <v>412</v>
      </c>
      <c r="B115" s="11" t="s">
        <v>149</v>
      </c>
      <c r="C115" s="11" t="s">
        <v>168</v>
      </c>
      <c r="D115" s="11" t="s">
        <v>103</v>
      </c>
      <c r="E115" s="11" t="s">
        <v>128</v>
      </c>
      <c r="F115" s="56">
        <f t="shared" si="2"/>
        <v>0</v>
      </c>
      <c r="G115" s="56"/>
      <c r="H115" s="101"/>
    </row>
    <row r="116" spans="1:8" ht="81" customHeight="1" hidden="1">
      <c r="A116" s="315" t="s">
        <v>134</v>
      </c>
      <c r="B116" s="11" t="s">
        <v>149</v>
      </c>
      <c r="C116" s="11" t="s">
        <v>168</v>
      </c>
      <c r="D116" s="11" t="s">
        <v>446</v>
      </c>
      <c r="E116" s="11" t="s">
        <v>398</v>
      </c>
      <c r="F116" s="56">
        <f t="shared" si="2"/>
        <v>0</v>
      </c>
      <c r="G116" s="56">
        <f>G117</f>
        <v>0</v>
      </c>
      <c r="H116" s="56">
        <f>H117</f>
        <v>0</v>
      </c>
    </row>
    <row r="117" spans="1:8" ht="51.75" customHeight="1" hidden="1">
      <c r="A117" s="23" t="s">
        <v>211</v>
      </c>
      <c r="B117" s="11" t="s">
        <v>149</v>
      </c>
      <c r="C117" s="11" t="s">
        <v>168</v>
      </c>
      <c r="D117" s="11" t="s">
        <v>446</v>
      </c>
      <c r="E117" s="11" t="s">
        <v>212</v>
      </c>
      <c r="F117" s="56">
        <f t="shared" si="2"/>
        <v>0</v>
      </c>
      <c r="G117" s="56"/>
      <c r="H117" s="56">
        <f>H118</f>
        <v>0</v>
      </c>
    </row>
    <row r="118" spans="1:8" ht="17.25" customHeight="1" hidden="1">
      <c r="A118" s="23" t="s">
        <v>412</v>
      </c>
      <c r="B118" s="11" t="s">
        <v>149</v>
      </c>
      <c r="C118" s="11" t="s">
        <v>168</v>
      </c>
      <c r="D118" s="11" t="s">
        <v>446</v>
      </c>
      <c r="E118" s="11" t="s">
        <v>128</v>
      </c>
      <c r="F118" s="56">
        <f t="shared" si="2"/>
        <v>0</v>
      </c>
      <c r="G118" s="56">
        <v>0</v>
      </c>
      <c r="H118" s="56"/>
    </row>
    <row r="119" spans="1:8" ht="66.75" customHeight="1" hidden="1">
      <c r="A119" s="27" t="s">
        <v>727</v>
      </c>
      <c r="B119" s="24" t="s">
        <v>149</v>
      </c>
      <c r="C119" s="24" t="s">
        <v>168</v>
      </c>
      <c r="D119" s="24" t="s">
        <v>728</v>
      </c>
      <c r="E119" s="24" t="s">
        <v>398</v>
      </c>
      <c r="F119" s="57">
        <f>G119+H119</f>
        <v>0</v>
      </c>
      <c r="G119" s="57"/>
      <c r="H119" s="57">
        <f>H120</f>
        <v>0</v>
      </c>
    </row>
    <row r="120" spans="1:8" ht="78" customHeight="1" hidden="1">
      <c r="A120" s="23" t="s">
        <v>185</v>
      </c>
      <c r="B120" s="11" t="s">
        <v>149</v>
      </c>
      <c r="C120" s="11" t="s">
        <v>168</v>
      </c>
      <c r="D120" s="11" t="s">
        <v>728</v>
      </c>
      <c r="E120" s="11" t="s">
        <v>154</v>
      </c>
      <c r="F120" s="56">
        <f>G120+H120</f>
        <v>0</v>
      </c>
      <c r="G120" s="56"/>
      <c r="H120" s="56">
        <f>H121</f>
        <v>0</v>
      </c>
    </row>
    <row r="121" spans="1:8" ht="35.25" customHeight="1" hidden="1">
      <c r="A121" s="44" t="s">
        <v>187</v>
      </c>
      <c r="B121" s="11" t="s">
        <v>149</v>
      </c>
      <c r="C121" s="11" t="s">
        <v>168</v>
      </c>
      <c r="D121" s="11" t="s">
        <v>728</v>
      </c>
      <c r="E121" s="11" t="s">
        <v>186</v>
      </c>
      <c r="F121" s="56">
        <f>G121+H121</f>
        <v>0</v>
      </c>
      <c r="G121" s="56">
        <v>0</v>
      </c>
      <c r="H121" s="56">
        <v>0</v>
      </c>
    </row>
    <row r="122" spans="1:8" ht="34.5" customHeight="1">
      <c r="A122" s="23" t="s">
        <v>152</v>
      </c>
      <c r="B122" s="11" t="s">
        <v>149</v>
      </c>
      <c r="C122" s="11" t="s">
        <v>168</v>
      </c>
      <c r="D122" s="11" t="s">
        <v>17</v>
      </c>
      <c r="E122" s="11" t="s">
        <v>398</v>
      </c>
      <c r="F122" s="56">
        <f t="shared" si="2"/>
        <v>6414.305689999999</v>
      </c>
      <c r="G122" s="56">
        <f>G123</f>
        <v>6414.305689999999</v>
      </c>
      <c r="H122" s="56">
        <f>H123</f>
        <v>0</v>
      </c>
    </row>
    <row r="123" spans="1:8" ht="51" customHeight="1">
      <c r="A123" s="23" t="s">
        <v>153</v>
      </c>
      <c r="B123" s="11" t="s">
        <v>149</v>
      </c>
      <c r="C123" s="11" t="s">
        <v>168</v>
      </c>
      <c r="D123" s="11" t="s">
        <v>18</v>
      </c>
      <c r="E123" s="11" t="s">
        <v>398</v>
      </c>
      <c r="F123" s="56">
        <f t="shared" si="2"/>
        <v>6414.305689999999</v>
      </c>
      <c r="G123" s="56">
        <f>G124+G129+G132+G135+G140+G158+G161+G164+G167</f>
        <v>6414.305689999999</v>
      </c>
      <c r="H123" s="56">
        <f>H124</f>
        <v>0</v>
      </c>
    </row>
    <row r="124" spans="1:10" s="125" customFormat="1" ht="49.5" customHeight="1">
      <c r="A124" s="27" t="s">
        <v>531</v>
      </c>
      <c r="B124" s="24" t="s">
        <v>149</v>
      </c>
      <c r="C124" s="24" t="s">
        <v>168</v>
      </c>
      <c r="D124" s="24" t="s">
        <v>21</v>
      </c>
      <c r="E124" s="24" t="s">
        <v>398</v>
      </c>
      <c r="F124" s="57">
        <f>G124+H124</f>
        <v>4802.388999999999</v>
      </c>
      <c r="G124" s="57">
        <f>G125+G127</f>
        <v>4802.388999999999</v>
      </c>
      <c r="H124" s="57">
        <f>SUM(H125:H128)</f>
        <v>0</v>
      </c>
      <c r="J124" s="316"/>
    </row>
    <row r="125" spans="1:8" ht="96" customHeight="1">
      <c r="A125" s="23" t="s">
        <v>185</v>
      </c>
      <c r="B125" s="11" t="s">
        <v>149</v>
      </c>
      <c r="C125" s="11" t="s">
        <v>168</v>
      </c>
      <c r="D125" s="11" t="s">
        <v>21</v>
      </c>
      <c r="E125" s="11" t="s">
        <v>154</v>
      </c>
      <c r="F125" s="56">
        <f t="shared" si="2"/>
        <v>4691.849999999999</v>
      </c>
      <c r="G125" s="56">
        <f>G126</f>
        <v>4691.849999999999</v>
      </c>
      <c r="H125" s="56"/>
    </row>
    <row r="126" spans="1:8" ht="34.5" customHeight="1">
      <c r="A126" s="44" t="s">
        <v>187</v>
      </c>
      <c r="B126" s="11" t="s">
        <v>149</v>
      </c>
      <c r="C126" s="11" t="s">
        <v>168</v>
      </c>
      <c r="D126" s="11" t="s">
        <v>21</v>
      </c>
      <c r="E126" s="11" t="s">
        <v>186</v>
      </c>
      <c r="F126" s="56">
        <f t="shared" si="2"/>
        <v>4691.849999999999</v>
      </c>
      <c r="G126" s="56">
        <f>4385.9+107+61.3+105.65+32</f>
        <v>4691.849999999999</v>
      </c>
      <c r="H126" s="56"/>
    </row>
    <row r="127" spans="1:8" ht="35.25" customHeight="1">
      <c r="A127" s="23" t="s">
        <v>188</v>
      </c>
      <c r="B127" s="11" t="s">
        <v>149</v>
      </c>
      <c r="C127" s="11" t="s">
        <v>168</v>
      </c>
      <c r="D127" s="11" t="s">
        <v>21</v>
      </c>
      <c r="E127" s="11" t="s">
        <v>158</v>
      </c>
      <c r="F127" s="56">
        <f t="shared" si="2"/>
        <v>110.539</v>
      </c>
      <c r="G127" s="56">
        <f>G128</f>
        <v>110.539</v>
      </c>
      <c r="H127" s="56"/>
    </row>
    <row r="128" spans="1:8" ht="49.5" customHeight="1">
      <c r="A128" s="44" t="s">
        <v>189</v>
      </c>
      <c r="B128" s="11" t="s">
        <v>149</v>
      </c>
      <c r="C128" s="11" t="s">
        <v>168</v>
      </c>
      <c r="D128" s="11" t="s">
        <v>21</v>
      </c>
      <c r="E128" s="11" t="s">
        <v>190</v>
      </c>
      <c r="F128" s="56">
        <f>G128+H128</f>
        <v>110.539</v>
      </c>
      <c r="G128" s="56">
        <v>110.539</v>
      </c>
      <c r="H128" s="56"/>
    </row>
    <row r="129" spans="1:8" s="125" customFormat="1" ht="15.75" customHeight="1">
      <c r="A129" s="27" t="s">
        <v>197</v>
      </c>
      <c r="B129" s="24" t="s">
        <v>149</v>
      </c>
      <c r="C129" s="24" t="s">
        <v>168</v>
      </c>
      <c r="D129" s="24" t="s">
        <v>25</v>
      </c>
      <c r="E129" s="24" t="s">
        <v>398</v>
      </c>
      <c r="F129" s="57">
        <f>G129+H129</f>
        <v>55.67678</v>
      </c>
      <c r="G129" s="57">
        <f>G130</f>
        <v>55.67678</v>
      </c>
      <c r="H129" s="57">
        <f>H130</f>
        <v>0</v>
      </c>
    </row>
    <row r="130" spans="1:8" ht="15.75" customHeight="1">
      <c r="A130" s="23" t="s">
        <v>193</v>
      </c>
      <c r="B130" s="11" t="s">
        <v>149</v>
      </c>
      <c r="C130" s="11" t="s">
        <v>168</v>
      </c>
      <c r="D130" s="11" t="s">
        <v>25</v>
      </c>
      <c r="E130" s="11" t="s">
        <v>194</v>
      </c>
      <c r="F130" s="56">
        <f>G130+H130</f>
        <v>55.67678</v>
      </c>
      <c r="G130" s="56">
        <f>G131</f>
        <v>55.67678</v>
      </c>
      <c r="H130" s="56">
        <f>H131</f>
        <v>0</v>
      </c>
    </row>
    <row r="131" spans="1:8" ht="15.75" customHeight="1">
      <c r="A131" s="23" t="s">
        <v>197</v>
      </c>
      <c r="B131" s="11" t="s">
        <v>149</v>
      </c>
      <c r="C131" s="11" t="s">
        <v>168</v>
      </c>
      <c r="D131" s="11" t="s">
        <v>25</v>
      </c>
      <c r="E131" s="11" t="s">
        <v>198</v>
      </c>
      <c r="F131" s="56">
        <f>G131+H131</f>
        <v>55.67678</v>
      </c>
      <c r="G131" s="56">
        <f>10+38.67678+2+5</f>
        <v>55.67678</v>
      </c>
      <c r="H131" s="56"/>
    </row>
    <row r="132" spans="1:8" s="125" customFormat="1" ht="63" customHeight="1">
      <c r="A132" s="27" t="s">
        <v>358</v>
      </c>
      <c r="B132" s="24" t="s">
        <v>149</v>
      </c>
      <c r="C132" s="24" t="s">
        <v>168</v>
      </c>
      <c r="D132" s="24" t="s">
        <v>26</v>
      </c>
      <c r="E132" s="24" t="s">
        <v>398</v>
      </c>
      <c r="F132" s="57">
        <f t="shared" si="2"/>
        <v>586.92</v>
      </c>
      <c r="G132" s="57">
        <f>G133</f>
        <v>586.92</v>
      </c>
      <c r="H132" s="57">
        <f>H134</f>
        <v>0</v>
      </c>
    </row>
    <row r="133" spans="1:8" ht="35.25" customHeight="1">
      <c r="A133" s="23" t="s">
        <v>188</v>
      </c>
      <c r="B133" s="11" t="s">
        <v>149</v>
      </c>
      <c r="C133" s="11" t="s">
        <v>168</v>
      </c>
      <c r="D133" s="11" t="s">
        <v>26</v>
      </c>
      <c r="E133" s="11" t="s">
        <v>158</v>
      </c>
      <c r="F133" s="56">
        <f t="shared" si="2"/>
        <v>586.92</v>
      </c>
      <c r="G133" s="56">
        <f>G134</f>
        <v>586.92</v>
      </c>
      <c r="H133" s="56"/>
    </row>
    <row r="134" spans="1:8" ht="49.5" customHeight="1">
      <c r="A134" s="44" t="s">
        <v>189</v>
      </c>
      <c r="B134" s="11" t="s">
        <v>149</v>
      </c>
      <c r="C134" s="11" t="s">
        <v>168</v>
      </c>
      <c r="D134" s="11" t="s">
        <v>26</v>
      </c>
      <c r="E134" s="11" t="s">
        <v>190</v>
      </c>
      <c r="F134" s="56">
        <f t="shared" si="2"/>
        <v>586.92</v>
      </c>
      <c r="G134" s="99">
        <f>520+240-420+420-173.08</f>
        <v>586.92</v>
      </c>
      <c r="H134" s="56"/>
    </row>
    <row r="135" spans="1:8" ht="16.5" customHeight="1">
      <c r="A135" s="39" t="s">
        <v>492</v>
      </c>
      <c r="B135" s="24" t="s">
        <v>149</v>
      </c>
      <c r="C135" s="24" t="s">
        <v>168</v>
      </c>
      <c r="D135" s="24" t="s">
        <v>493</v>
      </c>
      <c r="E135" s="24" t="s">
        <v>398</v>
      </c>
      <c r="F135" s="57">
        <f aca="true" t="shared" si="3" ref="F135:F144">G135</f>
        <v>715.47983</v>
      </c>
      <c r="G135" s="57">
        <f>G136+G138</f>
        <v>715.47983</v>
      </c>
      <c r="H135" s="57"/>
    </row>
    <row r="136" spans="1:8" ht="34.5" customHeight="1">
      <c r="A136" s="23" t="s">
        <v>188</v>
      </c>
      <c r="B136" s="11" t="s">
        <v>149</v>
      </c>
      <c r="C136" s="11" t="s">
        <v>168</v>
      </c>
      <c r="D136" s="11" t="s">
        <v>493</v>
      </c>
      <c r="E136" s="11" t="s">
        <v>158</v>
      </c>
      <c r="F136" s="56">
        <f t="shared" si="3"/>
        <v>715.47983</v>
      </c>
      <c r="G136" s="56">
        <f>G137</f>
        <v>715.47983</v>
      </c>
      <c r="H136" s="56"/>
    </row>
    <row r="137" spans="1:8" ht="48.75" customHeight="1">
      <c r="A137" s="44" t="s">
        <v>189</v>
      </c>
      <c r="B137" s="11" t="s">
        <v>149</v>
      </c>
      <c r="C137" s="11" t="s">
        <v>168</v>
      </c>
      <c r="D137" s="11" t="s">
        <v>493</v>
      </c>
      <c r="E137" s="11" t="s">
        <v>190</v>
      </c>
      <c r="F137" s="56">
        <f t="shared" si="3"/>
        <v>715.47983</v>
      </c>
      <c r="G137" s="99">
        <f>878.3-273.3+40.47983+70</f>
        <v>715.47983</v>
      </c>
      <c r="H137" s="56"/>
    </row>
    <row r="138" spans="1:8" ht="21.75" customHeight="1" hidden="1">
      <c r="A138" s="23" t="s">
        <v>193</v>
      </c>
      <c r="B138" s="11" t="s">
        <v>149</v>
      </c>
      <c r="C138" s="11" t="s">
        <v>168</v>
      </c>
      <c r="D138" s="11" t="s">
        <v>493</v>
      </c>
      <c r="E138" s="11" t="s">
        <v>194</v>
      </c>
      <c r="F138" s="56">
        <f t="shared" si="3"/>
        <v>0</v>
      </c>
      <c r="G138" s="56">
        <f>G139</f>
        <v>0</v>
      </c>
      <c r="H138" s="56"/>
    </row>
    <row r="139" spans="1:8" ht="21" customHeight="1" hidden="1">
      <c r="A139" s="52" t="s">
        <v>191</v>
      </c>
      <c r="B139" s="11" t="s">
        <v>149</v>
      </c>
      <c r="C139" s="11" t="s">
        <v>168</v>
      </c>
      <c r="D139" s="11" t="s">
        <v>493</v>
      </c>
      <c r="E139" s="11" t="s">
        <v>192</v>
      </c>
      <c r="F139" s="56">
        <f t="shared" si="3"/>
        <v>0</v>
      </c>
      <c r="G139" s="56"/>
      <c r="H139" s="56"/>
    </row>
    <row r="140" spans="1:8" s="125" customFormat="1" ht="18" customHeight="1" hidden="1">
      <c r="A140" s="317" t="s">
        <v>519</v>
      </c>
      <c r="B140" s="24" t="s">
        <v>149</v>
      </c>
      <c r="C140" s="24" t="s">
        <v>168</v>
      </c>
      <c r="D140" s="24" t="s">
        <v>520</v>
      </c>
      <c r="E140" s="24" t="s">
        <v>398</v>
      </c>
      <c r="F140" s="57">
        <f t="shared" si="3"/>
        <v>0</v>
      </c>
      <c r="G140" s="57">
        <f>G142+G143</f>
        <v>0</v>
      </c>
      <c r="H140" s="57"/>
    </row>
    <row r="141" spans="1:8" s="125" customFormat="1" ht="36.75" customHeight="1" hidden="1">
      <c r="A141" s="23" t="s">
        <v>188</v>
      </c>
      <c r="B141" s="11" t="s">
        <v>149</v>
      </c>
      <c r="C141" s="11" t="s">
        <v>168</v>
      </c>
      <c r="D141" s="11" t="s">
        <v>520</v>
      </c>
      <c r="E141" s="11" t="s">
        <v>158</v>
      </c>
      <c r="F141" s="56">
        <f t="shared" si="3"/>
        <v>0</v>
      </c>
      <c r="G141" s="56">
        <f>G142</f>
        <v>0</v>
      </c>
      <c r="H141" s="57"/>
    </row>
    <row r="142" spans="1:8" ht="48.75" customHeight="1" hidden="1">
      <c r="A142" s="44" t="s">
        <v>189</v>
      </c>
      <c r="B142" s="11" t="s">
        <v>149</v>
      </c>
      <c r="C142" s="11" t="s">
        <v>168</v>
      </c>
      <c r="D142" s="11" t="s">
        <v>520</v>
      </c>
      <c r="E142" s="11" t="s">
        <v>190</v>
      </c>
      <c r="F142" s="56">
        <f t="shared" si="3"/>
        <v>0</v>
      </c>
      <c r="G142" s="56"/>
      <c r="H142" s="56"/>
    </row>
    <row r="143" spans="1:8" ht="21" customHeight="1" hidden="1">
      <c r="A143" s="23" t="s">
        <v>193</v>
      </c>
      <c r="B143" s="11" t="s">
        <v>149</v>
      </c>
      <c r="C143" s="11" t="s">
        <v>168</v>
      </c>
      <c r="D143" s="11" t="s">
        <v>520</v>
      </c>
      <c r="E143" s="11" t="s">
        <v>194</v>
      </c>
      <c r="F143" s="56">
        <f t="shared" si="3"/>
        <v>0</v>
      </c>
      <c r="G143" s="56">
        <f>G144</f>
        <v>0</v>
      </c>
      <c r="H143" s="56"/>
    </row>
    <row r="144" spans="1:8" ht="15.75" customHeight="1" hidden="1">
      <c r="A144" s="52" t="s">
        <v>191</v>
      </c>
      <c r="B144" s="11" t="s">
        <v>149</v>
      </c>
      <c r="C144" s="11" t="s">
        <v>168</v>
      </c>
      <c r="D144" s="11" t="s">
        <v>520</v>
      </c>
      <c r="E144" s="11" t="s">
        <v>192</v>
      </c>
      <c r="F144" s="56">
        <f t="shared" si="3"/>
        <v>0</v>
      </c>
      <c r="G144" s="56"/>
      <c r="H144" s="56"/>
    </row>
    <row r="145" spans="1:10" s="143" customFormat="1" ht="81" customHeight="1">
      <c r="A145" s="53" t="s">
        <v>532</v>
      </c>
      <c r="B145" s="51" t="s">
        <v>149</v>
      </c>
      <c r="C145" s="51" t="s">
        <v>168</v>
      </c>
      <c r="D145" s="51" t="s">
        <v>311</v>
      </c>
      <c r="E145" s="51" t="s">
        <v>398</v>
      </c>
      <c r="F145" s="98">
        <f>G145+H145</f>
        <v>883.6502500000001</v>
      </c>
      <c r="G145" s="98">
        <v>0</v>
      </c>
      <c r="H145" s="98">
        <f>H146+H152</f>
        <v>883.6502500000001</v>
      </c>
      <c r="I145" s="156"/>
      <c r="J145" s="157"/>
    </row>
    <row r="146" spans="1:9" ht="38.25" customHeight="1">
      <c r="A146" s="23" t="s">
        <v>483</v>
      </c>
      <c r="B146" s="11" t="s">
        <v>149</v>
      </c>
      <c r="C146" s="11" t="s">
        <v>168</v>
      </c>
      <c r="D146" s="11" t="s">
        <v>17</v>
      </c>
      <c r="E146" s="11" t="s">
        <v>398</v>
      </c>
      <c r="F146" s="56">
        <f aca="true" t="shared" si="4" ref="F146:F160">G146+H146</f>
        <v>883.6502500000001</v>
      </c>
      <c r="G146" s="56"/>
      <c r="H146" s="56">
        <f>H147</f>
        <v>883.6502500000001</v>
      </c>
      <c r="I146" s="126"/>
    </row>
    <row r="147" spans="1:10" ht="45.75" customHeight="1">
      <c r="A147" s="23" t="s">
        <v>153</v>
      </c>
      <c r="B147" s="11" t="s">
        <v>149</v>
      </c>
      <c r="C147" s="11" t="s">
        <v>168</v>
      </c>
      <c r="D147" s="11" t="s">
        <v>18</v>
      </c>
      <c r="E147" s="11" t="s">
        <v>398</v>
      </c>
      <c r="F147" s="56">
        <f t="shared" si="4"/>
        <v>883.6502500000001</v>
      </c>
      <c r="G147" s="56"/>
      <c r="H147" s="56">
        <f>H148+H150</f>
        <v>883.6502500000001</v>
      </c>
      <c r="I147" s="144"/>
      <c r="J147" s="144"/>
    </row>
    <row r="148" spans="1:9" ht="91.5" customHeight="1">
      <c r="A148" s="23" t="s">
        <v>185</v>
      </c>
      <c r="B148" s="11" t="s">
        <v>149</v>
      </c>
      <c r="C148" s="11" t="s">
        <v>168</v>
      </c>
      <c r="D148" s="11" t="s">
        <v>533</v>
      </c>
      <c r="E148" s="11" t="s">
        <v>154</v>
      </c>
      <c r="F148" s="56">
        <f t="shared" si="4"/>
        <v>713.0918300000001</v>
      </c>
      <c r="G148" s="56">
        <v>0</v>
      </c>
      <c r="H148" s="56">
        <f>H149</f>
        <v>713.0918300000001</v>
      </c>
      <c r="I148" s="126"/>
    </row>
    <row r="149" spans="1:8" ht="32.25" customHeight="1">
      <c r="A149" s="23" t="s">
        <v>187</v>
      </c>
      <c r="B149" s="11" t="s">
        <v>149</v>
      </c>
      <c r="C149" s="11" t="s">
        <v>168</v>
      </c>
      <c r="D149" s="11" t="s">
        <v>533</v>
      </c>
      <c r="E149" s="11" t="s">
        <v>186</v>
      </c>
      <c r="F149" s="56">
        <f t="shared" si="4"/>
        <v>713.0918300000001</v>
      </c>
      <c r="G149" s="56"/>
      <c r="H149" s="56">
        <f>158.91956+571.21939+118+34-18.5975-150.44962</f>
        <v>713.0918300000001</v>
      </c>
    </row>
    <row r="150" spans="1:8" ht="37.5" customHeight="1">
      <c r="A150" s="23" t="s">
        <v>188</v>
      </c>
      <c r="B150" s="11" t="s">
        <v>149</v>
      </c>
      <c r="C150" s="11" t="s">
        <v>168</v>
      </c>
      <c r="D150" s="11" t="s">
        <v>533</v>
      </c>
      <c r="E150" s="11" t="s">
        <v>158</v>
      </c>
      <c r="F150" s="56">
        <f t="shared" si="4"/>
        <v>170.55842</v>
      </c>
      <c r="G150" s="56">
        <v>0</v>
      </c>
      <c r="H150" s="56">
        <f>H151</f>
        <v>170.55842</v>
      </c>
    </row>
    <row r="151" spans="1:10" ht="49.5" customHeight="1">
      <c r="A151" s="44" t="s">
        <v>189</v>
      </c>
      <c r="B151" s="11" t="s">
        <v>149</v>
      </c>
      <c r="C151" s="11" t="s">
        <v>168</v>
      </c>
      <c r="D151" s="11" t="s">
        <v>533</v>
      </c>
      <c r="E151" s="11" t="s">
        <v>190</v>
      </c>
      <c r="F151" s="56">
        <f t="shared" si="4"/>
        <v>170.55842</v>
      </c>
      <c r="G151" s="56"/>
      <c r="H151" s="56">
        <f>20.1088+150.44962</f>
        <v>170.55842</v>
      </c>
      <c r="J151" s="144"/>
    </row>
    <row r="152" spans="1:10" ht="49.5" customHeight="1" hidden="1">
      <c r="A152" s="23" t="s">
        <v>483</v>
      </c>
      <c r="B152" s="11" t="s">
        <v>149</v>
      </c>
      <c r="C152" s="11" t="s">
        <v>168</v>
      </c>
      <c r="D152" s="11" t="s">
        <v>17</v>
      </c>
      <c r="E152" s="11" t="s">
        <v>398</v>
      </c>
      <c r="F152" s="56">
        <f t="shared" si="4"/>
        <v>0</v>
      </c>
      <c r="G152" s="56"/>
      <c r="H152" s="56">
        <f>H153</f>
        <v>0</v>
      </c>
      <c r="J152" s="144"/>
    </row>
    <row r="153" spans="1:10" ht="49.5" customHeight="1" hidden="1">
      <c r="A153" s="23" t="s">
        <v>153</v>
      </c>
      <c r="B153" s="11" t="s">
        <v>149</v>
      </c>
      <c r="C153" s="11" t="s">
        <v>168</v>
      </c>
      <c r="D153" s="11" t="s">
        <v>18</v>
      </c>
      <c r="E153" s="11" t="s">
        <v>398</v>
      </c>
      <c r="F153" s="56">
        <f t="shared" si="4"/>
        <v>0</v>
      </c>
      <c r="G153" s="56"/>
      <c r="H153" s="56">
        <f>H154+H156</f>
        <v>0</v>
      </c>
      <c r="J153" s="144"/>
    </row>
    <row r="154" spans="1:10" ht="93" customHeight="1" hidden="1">
      <c r="A154" s="23" t="s">
        <v>185</v>
      </c>
      <c r="B154" s="11" t="s">
        <v>149</v>
      </c>
      <c r="C154" s="11" t="s">
        <v>168</v>
      </c>
      <c r="D154" s="11" t="s">
        <v>879</v>
      </c>
      <c r="E154" s="11" t="s">
        <v>154</v>
      </c>
      <c r="F154" s="56">
        <f t="shared" si="4"/>
        <v>0</v>
      </c>
      <c r="G154" s="56">
        <v>0</v>
      </c>
      <c r="H154" s="56">
        <f>H155</f>
        <v>0</v>
      </c>
      <c r="J154" s="144"/>
    </row>
    <row r="155" spans="1:10" ht="41.25" customHeight="1" hidden="1">
      <c r="A155" s="23" t="s">
        <v>187</v>
      </c>
      <c r="B155" s="11" t="s">
        <v>149</v>
      </c>
      <c r="C155" s="11" t="s">
        <v>168</v>
      </c>
      <c r="D155" s="11" t="s">
        <v>879</v>
      </c>
      <c r="E155" s="11" t="s">
        <v>186</v>
      </c>
      <c r="F155" s="56">
        <f t="shared" si="4"/>
        <v>0</v>
      </c>
      <c r="G155" s="56"/>
      <c r="H155" s="56">
        <f>389.14971-389.14971</f>
        <v>0</v>
      </c>
      <c r="J155" s="144"/>
    </row>
    <row r="156" spans="1:10" ht="49.5" customHeight="1" hidden="1">
      <c r="A156" s="23" t="s">
        <v>188</v>
      </c>
      <c r="B156" s="11" t="s">
        <v>149</v>
      </c>
      <c r="C156" s="11" t="s">
        <v>168</v>
      </c>
      <c r="D156" s="11" t="s">
        <v>879</v>
      </c>
      <c r="E156" s="11" t="s">
        <v>158</v>
      </c>
      <c r="F156" s="56">
        <f t="shared" si="4"/>
        <v>0</v>
      </c>
      <c r="G156" s="56">
        <v>0</v>
      </c>
      <c r="H156" s="56">
        <f>H157</f>
        <v>0</v>
      </c>
      <c r="J156" s="144"/>
    </row>
    <row r="157" spans="1:10" ht="49.5" customHeight="1" hidden="1">
      <c r="A157" s="44" t="s">
        <v>189</v>
      </c>
      <c r="B157" s="11" t="s">
        <v>149</v>
      </c>
      <c r="C157" s="11" t="s">
        <v>168</v>
      </c>
      <c r="D157" s="11" t="s">
        <v>879</v>
      </c>
      <c r="E157" s="11" t="s">
        <v>190</v>
      </c>
      <c r="F157" s="56">
        <f t="shared" si="4"/>
        <v>0</v>
      </c>
      <c r="G157" s="56"/>
      <c r="H157" s="56"/>
      <c r="J157" s="144"/>
    </row>
    <row r="158" spans="1:10" ht="45.75" customHeight="1">
      <c r="A158" s="39" t="s">
        <v>702</v>
      </c>
      <c r="B158" s="24" t="s">
        <v>149</v>
      </c>
      <c r="C158" s="24" t="s">
        <v>168</v>
      </c>
      <c r="D158" s="24" t="s">
        <v>703</v>
      </c>
      <c r="E158" s="24" t="s">
        <v>398</v>
      </c>
      <c r="F158" s="57">
        <f t="shared" si="4"/>
        <v>14.84</v>
      </c>
      <c r="G158" s="57">
        <f>G159</f>
        <v>14.84</v>
      </c>
      <c r="H158" s="57"/>
      <c r="J158" s="144"/>
    </row>
    <row r="159" spans="1:10" ht="35.25" customHeight="1">
      <c r="A159" s="23" t="s">
        <v>188</v>
      </c>
      <c r="B159" s="11" t="s">
        <v>149</v>
      </c>
      <c r="C159" s="11" t="s">
        <v>168</v>
      </c>
      <c r="D159" s="11" t="s">
        <v>703</v>
      </c>
      <c r="E159" s="11" t="s">
        <v>158</v>
      </c>
      <c r="F159" s="56">
        <f t="shared" si="4"/>
        <v>14.84</v>
      </c>
      <c r="G159" s="56">
        <f>G160</f>
        <v>14.84</v>
      </c>
      <c r="H159" s="56"/>
      <c r="J159" s="144"/>
    </row>
    <row r="160" spans="1:10" ht="48" customHeight="1">
      <c r="A160" s="44" t="s">
        <v>189</v>
      </c>
      <c r="B160" s="11" t="s">
        <v>149</v>
      </c>
      <c r="C160" s="11" t="s">
        <v>168</v>
      </c>
      <c r="D160" s="11" t="s">
        <v>703</v>
      </c>
      <c r="E160" s="11" t="s">
        <v>190</v>
      </c>
      <c r="F160" s="56">
        <f t="shared" si="4"/>
        <v>14.84</v>
      </c>
      <c r="G160" s="56">
        <v>14.84</v>
      </c>
      <c r="H160" s="56"/>
      <c r="J160" s="144"/>
    </row>
    <row r="161" spans="1:10" ht="34.5" customHeight="1" hidden="1">
      <c r="A161" s="53" t="s">
        <v>823</v>
      </c>
      <c r="B161" s="51" t="s">
        <v>149</v>
      </c>
      <c r="C161" s="51" t="s">
        <v>168</v>
      </c>
      <c r="D161" s="51" t="s">
        <v>824</v>
      </c>
      <c r="E161" s="51" t="s">
        <v>398</v>
      </c>
      <c r="F161" s="98">
        <f aca="true" t="shared" si="5" ref="F161:F169">G161+H161</f>
        <v>0</v>
      </c>
      <c r="G161" s="98">
        <f>G162</f>
        <v>0</v>
      </c>
      <c r="H161" s="98"/>
      <c r="J161" s="144"/>
    </row>
    <row r="162" spans="1:10" ht="36" customHeight="1" hidden="1">
      <c r="A162" s="23" t="s">
        <v>188</v>
      </c>
      <c r="B162" s="11" t="s">
        <v>149</v>
      </c>
      <c r="C162" s="11" t="s">
        <v>168</v>
      </c>
      <c r="D162" s="11" t="s">
        <v>824</v>
      </c>
      <c r="E162" s="11" t="s">
        <v>158</v>
      </c>
      <c r="F162" s="56">
        <f t="shared" si="5"/>
        <v>0</v>
      </c>
      <c r="G162" s="56">
        <f>G163</f>
        <v>0</v>
      </c>
      <c r="H162" s="56"/>
      <c r="J162" s="144"/>
    </row>
    <row r="163" spans="1:10" ht="48.75" customHeight="1" hidden="1">
      <c r="A163" s="44" t="s">
        <v>189</v>
      </c>
      <c r="B163" s="11" t="s">
        <v>149</v>
      </c>
      <c r="C163" s="11" t="s">
        <v>168</v>
      </c>
      <c r="D163" s="11" t="s">
        <v>824</v>
      </c>
      <c r="E163" s="11" t="s">
        <v>190</v>
      </c>
      <c r="F163" s="56">
        <f t="shared" si="5"/>
        <v>0</v>
      </c>
      <c r="G163" s="56">
        <v>0</v>
      </c>
      <c r="H163" s="56"/>
      <c r="J163" s="144"/>
    </row>
    <row r="164" spans="1:10" ht="81" customHeight="1">
      <c r="A164" s="39" t="s">
        <v>955</v>
      </c>
      <c r="B164" s="24" t="s">
        <v>149</v>
      </c>
      <c r="C164" s="24" t="s">
        <v>168</v>
      </c>
      <c r="D164" s="24" t="s">
        <v>954</v>
      </c>
      <c r="E164" s="24" t="s">
        <v>398</v>
      </c>
      <c r="F164" s="57">
        <f t="shared" si="5"/>
        <v>44.00008</v>
      </c>
      <c r="G164" s="57">
        <f>G165</f>
        <v>44.00008</v>
      </c>
      <c r="H164" s="57"/>
      <c r="J164" s="144"/>
    </row>
    <row r="165" spans="1:10" ht="48.75" customHeight="1">
      <c r="A165" s="23" t="s">
        <v>188</v>
      </c>
      <c r="B165" s="11" t="s">
        <v>149</v>
      </c>
      <c r="C165" s="11" t="s">
        <v>168</v>
      </c>
      <c r="D165" s="11" t="s">
        <v>954</v>
      </c>
      <c r="E165" s="11" t="s">
        <v>158</v>
      </c>
      <c r="F165" s="56">
        <f t="shared" si="5"/>
        <v>44.00008</v>
      </c>
      <c r="G165" s="56">
        <f>G166</f>
        <v>44.00008</v>
      </c>
      <c r="H165" s="56"/>
      <c r="J165" s="144"/>
    </row>
    <row r="166" spans="1:10" ht="48.75" customHeight="1">
      <c r="A166" s="44" t="s">
        <v>189</v>
      </c>
      <c r="B166" s="11" t="s">
        <v>149</v>
      </c>
      <c r="C166" s="11" t="s">
        <v>168</v>
      </c>
      <c r="D166" s="11" t="s">
        <v>954</v>
      </c>
      <c r="E166" s="11" t="s">
        <v>190</v>
      </c>
      <c r="F166" s="56">
        <f t="shared" si="5"/>
        <v>44.00008</v>
      </c>
      <c r="G166" s="56">
        <f>20+42-17.99992</f>
        <v>44.00008</v>
      </c>
      <c r="H166" s="56"/>
      <c r="J166" s="144"/>
    </row>
    <row r="167" spans="1:10" ht="48.75" customHeight="1">
      <c r="A167" s="39" t="s">
        <v>952</v>
      </c>
      <c r="B167" s="24" t="s">
        <v>149</v>
      </c>
      <c r="C167" s="24" t="s">
        <v>168</v>
      </c>
      <c r="D167" s="24" t="s">
        <v>953</v>
      </c>
      <c r="E167" s="24" t="s">
        <v>398</v>
      </c>
      <c r="F167" s="57">
        <f t="shared" si="5"/>
        <v>195</v>
      </c>
      <c r="G167" s="57">
        <f>G168</f>
        <v>195</v>
      </c>
      <c r="H167" s="57"/>
      <c r="J167" s="144"/>
    </row>
    <row r="168" spans="1:10" ht="39.75" customHeight="1">
      <c r="A168" s="23" t="s">
        <v>188</v>
      </c>
      <c r="B168" s="11" t="s">
        <v>149</v>
      </c>
      <c r="C168" s="11" t="s">
        <v>168</v>
      </c>
      <c r="D168" s="11" t="s">
        <v>953</v>
      </c>
      <c r="E168" s="11" t="s">
        <v>158</v>
      </c>
      <c r="F168" s="56">
        <f t="shared" si="5"/>
        <v>195</v>
      </c>
      <c r="G168" s="56">
        <f>G169</f>
        <v>195</v>
      </c>
      <c r="H168" s="56"/>
      <c r="J168" s="144"/>
    </row>
    <row r="169" spans="1:10" ht="48.75" customHeight="1">
      <c r="A169" s="44" t="s">
        <v>189</v>
      </c>
      <c r="B169" s="11" t="s">
        <v>149</v>
      </c>
      <c r="C169" s="11" t="s">
        <v>168</v>
      </c>
      <c r="D169" s="11" t="s">
        <v>953</v>
      </c>
      <c r="E169" s="11" t="s">
        <v>190</v>
      </c>
      <c r="F169" s="56">
        <f t="shared" si="5"/>
        <v>195</v>
      </c>
      <c r="G169" s="56">
        <f>200-5</f>
        <v>195</v>
      </c>
      <c r="H169" s="56"/>
      <c r="J169" s="144"/>
    </row>
    <row r="170" spans="1:8" s="125" customFormat="1" ht="50.25" customHeight="1">
      <c r="A170" s="27" t="s">
        <v>452</v>
      </c>
      <c r="B170" s="24" t="s">
        <v>149</v>
      </c>
      <c r="C170" s="24" t="s">
        <v>168</v>
      </c>
      <c r="D170" s="24" t="s">
        <v>35</v>
      </c>
      <c r="E170" s="24" t="s">
        <v>398</v>
      </c>
      <c r="F170" s="57">
        <f t="shared" si="2"/>
        <v>83</v>
      </c>
      <c r="G170" s="57">
        <f>G171+G174+G182+G185</f>
        <v>83</v>
      </c>
      <c r="H170" s="57">
        <f>H174+H185</f>
        <v>0</v>
      </c>
    </row>
    <row r="171" spans="1:8" s="145" customFormat="1" ht="35.25" customHeight="1" hidden="1">
      <c r="A171" s="28" t="s">
        <v>37</v>
      </c>
      <c r="B171" s="11" t="s">
        <v>149</v>
      </c>
      <c r="C171" s="11" t="s">
        <v>168</v>
      </c>
      <c r="D171" s="4" t="s">
        <v>36</v>
      </c>
      <c r="E171" s="11" t="s">
        <v>398</v>
      </c>
      <c r="F171" s="56">
        <f t="shared" si="2"/>
        <v>0</v>
      </c>
      <c r="G171" s="56">
        <f>G172</f>
        <v>0</v>
      </c>
      <c r="H171" s="102"/>
    </row>
    <row r="172" spans="1:8" ht="39" customHeight="1" hidden="1">
      <c r="A172" s="23" t="s">
        <v>188</v>
      </c>
      <c r="B172" s="11" t="s">
        <v>149</v>
      </c>
      <c r="C172" s="11" t="s">
        <v>168</v>
      </c>
      <c r="D172" s="4" t="s">
        <v>38</v>
      </c>
      <c r="E172" s="11" t="s">
        <v>158</v>
      </c>
      <c r="F172" s="56">
        <f t="shared" si="2"/>
        <v>0</v>
      </c>
      <c r="G172" s="56">
        <f>G173</f>
        <v>0</v>
      </c>
      <c r="H172" s="56"/>
    </row>
    <row r="173" spans="1:8" ht="47.25" customHeight="1" hidden="1">
      <c r="A173" s="44" t="s">
        <v>189</v>
      </c>
      <c r="B173" s="11" t="s">
        <v>149</v>
      </c>
      <c r="C173" s="11" t="s">
        <v>168</v>
      </c>
      <c r="D173" s="4" t="s">
        <v>39</v>
      </c>
      <c r="E173" s="11" t="s">
        <v>190</v>
      </c>
      <c r="F173" s="56">
        <f t="shared" si="2"/>
        <v>0</v>
      </c>
      <c r="G173" s="56"/>
      <c r="H173" s="56"/>
    </row>
    <row r="174" spans="1:8" ht="36" customHeight="1" hidden="1">
      <c r="A174" s="112" t="s">
        <v>287</v>
      </c>
      <c r="B174" s="11" t="s">
        <v>149</v>
      </c>
      <c r="C174" s="11" t="s">
        <v>168</v>
      </c>
      <c r="D174" s="4" t="s">
        <v>53</v>
      </c>
      <c r="E174" s="11" t="s">
        <v>398</v>
      </c>
      <c r="F174" s="56">
        <f>F175</f>
        <v>0</v>
      </c>
      <c r="G174" s="56">
        <f>G175</f>
        <v>0</v>
      </c>
      <c r="H174" s="56">
        <f>H175</f>
        <v>0</v>
      </c>
    </row>
    <row r="175" spans="1:8" ht="63.75" customHeight="1" hidden="1">
      <c r="A175" s="27" t="s">
        <v>641</v>
      </c>
      <c r="B175" s="24" t="s">
        <v>149</v>
      </c>
      <c r="C175" s="24" t="s">
        <v>168</v>
      </c>
      <c r="D175" s="24" t="s">
        <v>311</v>
      </c>
      <c r="E175" s="24" t="s">
        <v>398</v>
      </c>
      <c r="F175" s="57">
        <f>G175+H175</f>
        <v>0</v>
      </c>
      <c r="G175" s="57">
        <f>G179</f>
        <v>0</v>
      </c>
      <c r="H175" s="57">
        <f>H176</f>
        <v>0</v>
      </c>
    </row>
    <row r="176" spans="1:8" ht="94.5" customHeight="1" hidden="1">
      <c r="A176" s="23" t="s">
        <v>658</v>
      </c>
      <c r="B176" s="11" t="s">
        <v>149</v>
      </c>
      <c r="C176" s="11" t="s">
        <v>168</v>
      </c>
      <c r="D176" s="11" t="s">
        <v>647</v>
      </c>
      <c r="E176" s="11" t="s">
        <v>398</v>
      </c>
      <c r="F176" s="56">
        <f aca="true" t="shared" si="6" ref="F176:F181">G176+H176</f>
        <v>0</v>
      </c>
      <c r="G176" s="56"/>
      <c r="H176" s="56">
        <f>H177</f>
        <v>0</v>
      </c>
    </row>
    <row r="177" spans="1:8" ht="49.5" customHeight="1" hidden="1">
      <c r="A177" s="44" t="s">
        <v>571</v>
      </c>
      <c r="B177" s="11" t="s">
        <v>149</v>
      </c>
      <c r="C177" s="11" t="s">
        <v>168</v>
      </c>
      <c r="D177" s="11" t="s">
        <v>647</v>
      </c>
      <c r="E177" s="11" t="s">
        <v>572</v>
      </c>
      <c r="F177" s="56">
        <f t="shared" si="6"/>
        <v>0</v>
      </c>
      <c r="G177" s="56"/>
      <c r="H177" s="56">
        <f>H178</f>
        <v>0</v>
      </c>
    </row>
    <row r="178" spans="1:8" ht="16.5" customHeight="1" hidden="1">
      <c r="A178" s="44" t="s">
        <v>573</v>
      </c>
      <c r="B178" s="11" t="s">
        <v>149</v>
      </c>
      <c r="C178" s="11" t="s">
        <v>168</v>
      </c>
      <c r="D178" s="11" t="s">
        <v>647</v>
      </c>
      <c r="E178" s="11" t="s">
        <v>574</v>
      </c>
      <c r="F178" s="56">
        <f t="shared" si="6"/>
        <v>0</v>
      </c>
      <c r="G178" s="56"/>
      <c r="H178" s="56">
        <v>0</v>
      </c>
    </row>
    <row r="179" spans="1:8" ht="96" customHeight="1" hidden="1">
      <c r="A179" s="23" t="s">
        <v>659</v>
      </c>
      <c r="B179" s="11" t="s">
        <v>149</v>
      </c>
      <c r="C179" s="11" t="s">
        <v>168</v>
      </c>
      <c r="D179" s="11" t="s">
        <v>692</v>
      </c>
      <c r="E179" s="11" t="s">
        <v>398</v>
      </c>
      <c r="F179" s="56">
        <f t="shared" si="6"/>
        <v>0</v>
      </c>
      <c r="G179" s="56">
        <f>G180</f>
        <v>0</v>
      </c>
      <c r="H179" s="56"/>
    </row>
    <row r="180" spans="1:8" ht="50.25" customHeight="1" hidden="1">
      <c r="A180" s="44" t="s">
        <v>571</v>
      </c>
      <c r="B180" s="11" t="s">
        <v>149</v>
      </c>
      <c r="C180" s="11" t="s">
        <v>168</v>
      </c>
      <c r="D180" s="11" t="s">
        <v>692</v>
      </c>
      <c r="E180" s="11" t="s">
        <v>572</v>
      </c>
      <c r="F180" s="56">
        <f t="shared" si="6"/>
        <v>0</v>
      </c>
      <c r="G180" s="56">
        <f>G181</f>
        <v>0</v>
      </c>
      <c r="H180" s="56"/>
    </row>
    <row r="181" spans="1:8" ht="18" customHeight="1" hidden="1">
      <c r="A181" s="44" t="s">
        <v>573</v>
      </c>
      <c r="B181" s="11" t="s">
        <v>149</v>
      </c>
      <c r="C181" s="11" t="s">
        <v>168</v>
      </c>
      <c r="D181" s="11" t="s">
        <v>692</v>
      </c>
      <c r="E181" s="11" t="s">
        <v>574</v>
      </c>
      <c r="F181" s="56">
        <f t="shared" si="6"/>
        <v>0</v>
      </c>
      <c r="G181" s="56">
        <f>325-255-70</f>
        <v>0</v>
      </c>
      <c r="H181" s="56"/>
    </row>
    <row r="182" spans="1:8" ht="92.25" customHeight="1" hidden="1">
      <c r="A182" s="27" t="s">
        <v>657</v>
      </c>
      <c r="B182" s="24" t="s">
        <v>149</v>
      </c>
      <c r="C182" s="24" t="s">
        <v>168</v>
      </c>
      <c r="D182" s="24" t="s">
        <v>648</v>
      </c>
      <c r="E182" s="24" t="s">
        <v>398</v>
      </c>
      <c r="F182" s="57">
        <f>G182+H182</f>
        <v>0</v>
      </c>
      <c r="G182" s="57">
        <f>G183</f>
        <v>0</v>
      </c>
      <c r="H182" s="57"/>
    </row>
    <row r="183" spans="1:8" ht="36" customHeight="1" hidden="1">
      <c r="A183" s="23" t="s">
        <v>188</v>
      </c>
      <c r="B183" s="11" t="s">
        <v>149</v>
      </c>
      <c r="C183" s="11" t="s">
        <v>168</v>
      </c>
      <c r="D183" s="11" t="s">
        <v>648</v>
      </c>
      <c r="E183" s="11" t="s">
        <v>158</v>
      </c>
      <c r="F183" s="56">
        <f>G183+H183</f>
        <v>0</v>
      </c>
      <c r="G183" s="56">
        <f>G184</f>
        <v>0</v>
      </c>
      <c r="H183" s="56"/>
    </row>
    <row r="184" spans="1:8" ht="50.25" customHeight="1" hidden="1">
      <c r="A184" s="44" t="s">
        <v>189</v>
      </c>
      <c r="B184" s="11" t="s">
        <v>149</v>
      </c>
      <c r="C184" s="11" t="s">
        <v>168</v>
      </c>
      <c r="D184" s="11" t="s">
        <v>648</v>
      </c>
      <c r="E184" s="11" t="s">
        <v>190</v>
      </c>
      <c r="F184" s="56">
        <f>G184+H184</f>
        <v>0</v>
      </c>
      <c r="G184" s="56">
        <v>0</v>
      </c>
      <c r="H184" s="56"/>
    </row>
    <row r="185" spans="1:8" ht="36" customHeight="1">
      <c r="A185" s="28" t="s">
        <v>40</v>
      </c>
      <c r="B185" s="11" t="s">
        <v>149</v>
      </c>
      <c r="C185" s="11" t="s">
        <v>168</v>
      </c>
      <c r="D185" s="11" t="s">
        <v>41</v>
      </c>
      <c r="E185" s="11" t="s">
        <v>398</v>
      </c>
      <c r="F185" s="56">
        <f t="shared" si="2"/>
        <v>83</v>
      </c>
      <c r="G185" s="56">
        <f>G186</f>
        <v>83</v>
      </c>
      <c r="H185" s="56">
        <f>H187</f>
        <v>0</v>
      </c>
    </row>
    <row r="186" spans="1:8" ht="34.5" customHeight="1">
      <c r="A186" s="23" t="s">
        <v>188</v>
      </c>
      <c r="B186" s="11" t="s">
        <v>149</v>
      </c>
      <c r="C186" s="11" t="s">
        <v>168</v>
      </c>
      <c r="D186" s="11" t="s">
        <v>650</v>
      </c>
      <c r="E186" s="11" t="s">
        <v>158</v>
      </c>
      <c r="F186" s="56">
        <f t="shared" si="2"/>
        <v>83</v>
      </c>
      <c r="G186" s="56">
        <f>G187</f>
        <v>83</v>
      </c>
      <c r="H186" s="56"/>
    </row>
    <row r="187" spans="1:8" ht="48" customHeight="1">
      <c r="A187" s="44" t="s">
        <v>189</v>
      </c>
      <c r="B187" s="11" t="s">
        <v>149</v>
      </c>
      <c r="C187" s="11" t="s">
        <v>168</v>
      </c>
      <c r="D187" s="11" t="s">
        <v>650</v>
      </c>
      <c r="E187" s="11" t="s">
        <v>190</v>
      </c>
      <c r="F187" s="56">
        <f t="shared" si="2"/>
        <v>83</v>
      </c>
      <c r="G187" s="56">
        <v>83</v>
      </c>
      <c r="H187" s="56"/>
    </row>
    <row r="188" spans="1:8" s="125" customFormat="1" ht="63" customHeight="1" hidden="1">
      <c r="A188" s="27" t="s">
        <v>467</v>
      </c>
      <c r="B188" s="24" t="s">
        <v>149</v>
      </c>
      <c r="C188" s="24" t="s">
        <v>168</v>
      </c>
      <c r="D188" s="24" t="s">
        <v>42</v>
      </c>
      <c r="E188" s="24" t="s">
        <v>398</v>
      </c>
      <c r="F188" s="57">
        <f aca="true" t="shared" si="7" ref="F188:F374">G188+H188</f>
        <v>0</v>
      </c>
      <c r="G188" s="57">
        <f>G189</f>
        <v>0</v>
      </c>
      <c r="H188" s="57">
        <f>H190</f>
        <v>0</v>
      </c>
    </row>
    <row r="189" spans="1:8" ht="35.25" customHeight="1" hidden="1">
      <c r="A189" s="23" t="s">
        <v>188</v>
      </c>
      <c r="B189" s="11" t="s">
        <v>149</v>
      </c>
      <c r="C189" s="11" t="s">
        <v>168</v>
      </c>
      <c r="D189" s="11" t="s">
        <v>43</v>
      </c>
      <c r="E189" s="11" t="s">
        <v>158</v>
      </c>
      <c r="F189" s="56">
        <f t="shared" si="7"/>
        <v>0</v>
      </c>
      <c r="G189" s="56">
        <f>G190</f>
        <v>0</v>
      </c>
      <c r="H189" s="56"/>
    </row>
    <row r="190" spans="1:8" ht="50.25" customHeight="1" hidden="1">
      <c r="A190" s="44" t="s">
        <v>189</v>
      </c>
      <c r="B190" s="11" t="s">
        <v>149</v>
      </c>
      <c r="C190" s="11" t="s">
        <v>168</v>
      </c>
      <c r="D190" s="11" t="s">
        <v>44</v>
      </c>
      <c r="E190" s="11" t="s">
        <v>190</v>
      </c>
      <c r="F190" s="56">
        <f t="shared" si="7"/>
        <v>0</v>
      </c>
      <c r="G190" s="56">
        <v>0</v>
      </c>
      <c r="H190" s="56"/>
    </row>
    <row r="191" spans="1:8" s="125" customFormat="1" ht="48.75" customHeight="1" hidden="1">
      <c r="A191" s="39" t="s">
        <v>421</v>
      </c>
      <c r="B191" s="24" t="s">
        <v>149</v>
      </c>
      <c r="C191" s="24" t="s">
        <v>168</v>
      </c>
      <c r="D191" s="24" t="s">
        <v>45</v>
      </c>
      <c r="E191" s="24" t="s">
        <v>398</v>
      </c>
      <c r="F191" s="57">
        <f>G191+H191</f>
        <v>0</v>
      </c>
      <c r="G191" s="57">
        <f>G192</f>
        <v>0</v>
      </c>
      <c r="H191" s="57">
        <f>H192</f>
        <v>0</v>
      </c>
    </row>
    <row r="192" spans="1:8" ht="34.5" customHeight="1" hidden="1">
      <c r="A192" s="44" t="s">
        <v>188</v>
      </c>
      <c r="B192" s="11" t="s">
        <v>149</v>
      </c>
      <c r="C192" s="11" t="s">
        <v>168</v>
      </c>
      <c r="D192" s="11" t="s">
        <v>478</v>
      </c>
      <c r="E192" s="11" t="s">
        <v>158</v>
      </c>
      <c r="F192" s="56">
        <f>G192+H192</f>
        <v>0</v>
      </c>
      <c r="G192" s="56">
        <f>G193</f>
        <v>0</v>
      </c>
      <c r="H192" s="56">
        <f>H193</f>
        <v>0</v>
      </c>
    </row>
    <row r="193" spans="1:8" ht="49.5" customHeight="1" hidden="1">
      <c r="A193" s="44" t="s">
        <v>189</v>
      </c>
      <c r="B193" s="11" t="s">
        <v>149</v>
      </c>
      <c r="C193" s="11" t="s">
        <v>168</v>
      </c>
      <c r="D193" s="11" t="s">
        <v>478</v>
      </c>
      <c r="E193" s="11" t="s">
        <v>190</v>
      </c>
      <c r="F193" s="56">
        <f>G193+H193</f>
        <v>0</v>
      </c>
      <c r="G193" s="56"/>
      <c r="H193" s="56"/>
    </row>
    <row r="194" spans="1:8" ht="65.25" customHeight="1">
      <c r="A194" s="39" t="s">
        <v>750</v>
      </c>
      <c r="B194" s="24" t="s">
        <v>149</v>
      </c>
      <c r="C194" s="24" t="s">
        <v>168</v>
      </c>
      <c r="D194" s="24" t="s">
        <v>534</v>
      </c>
      <c r="E194" s="24" t="s">
        <v>398</v>
      </c>
      <c r="F194" s="57">
        <f t="shared" si="7"/>
        <v>15</v>
      </c>
      <c r="G194" s="57">
        <f>G195</f>
        <v>15</v>
      </c>
      <c r="H194" s="98"/>
    </row>
    <row r="195" spans="1:8" ht="49.5" customHeight="1">
      <c r="A195" s="44" t="s">
        <v>535</v>
      </c>
      <c r="B195" s="11" t="s">
        <v>149</v>
      </c>
      <c r="C195" s="11" t="s">
        <v>168</v>
      </c>
      <c r="D195" s="11" t="s">
        <v>536</v>
      </c>
      <c r="E195" s="11" t="s">
        <v>158</v>
      </c>
      <c r="F195" s="56">
        <f t="shared" si="7"/>
        <v>15</v>
      </c>
      <c r="G195" s="56">
        <f>G196</f>
        <v>15</v>
      </c>
      <c r="H195" s="56"/>
    </row>
    <row r="196" spans="1:8" ht="18.75" customHeight="1">
      <c r="A196" s="44" t="s">
        <v>537</v>
      </c>
      <c r="B196" s="11" t="s">
        <v>149</v>
      </c>
      <c r="C196" s="11" t="s">
        <v>168</v>
      </c>
      <c r="D196" s="11" t="s">
        <v>538</v>
      </c>
      <c r="E196" s="11" t="s">
        <v>190</v>
      </c>
      <c r="F196" s="56">
        <f t="shared" si="7"/>
        <v>15</v>
      </c>
      <c r="G196" s="56">
        <v>15</v>
      </c>
      <c r="H196" s="56"/>
    </row>
    <row r="197" spans="1:8" s="143" customFormat="1" ht="20.25" customHeight="1" hidden="1">
      <c r="A197" s="54" t="s">
        <v>360</v>
      </c>
      <c r="B197" s="16" t="s">
        <v>151</v>
      </c>
      <c r="C197" s="16" t="s">
        <v>150</v>
      </c>
      <c r="D197" s="16" t="s">
        <v>311</v>
      </c>
      <c r="E197" s="16" t="s">
        <v>398</v>
      </c>
      <c r="F197" s="101">
        <f>G197+H197</f>
        <v>0</v>
      </c>
      <c r="G197" s="101">
        <f>G198</f>
        <v>0</v>
      </c>
      <c r="H197" s="101">
        <f>H198</f>
        <v>0</v>
      </c>
    </row>
    <row r="198" spans="1:8" ht="17.25" customHeight="1" hidden="1">
      <c r="A198" s="23" t="s">
        <v>354</v>
      </c>
      <c r="B198" s="11" t="s">
        <v>151</v>
      </c>
      <c r="C198" s="11" t="s">
        <v>150</v>
      </c>
      <c r="D198" s="11" t="s">
        <v>311</v>
      </c>
      <c r="E198" s="11" t="s">
        <v>398</v>
      </c>
      <c r="F198" s="56">
        <f t="shared" si="7"/>
        <v>0</v>
      </c>
      <c r="G198" s="56">
        <f>G200</f>
        <v>0</v>
      </c>
      <c r="H198" s="56">
        <f>H199</f>
        <v>0</v>
      </c>
    </row>
    <row r="199" spans="1:8" ht="79.5" customHeight="1" hidden="1">
      <c r="A199" s="27" t="s">
        <v>521</v>
      </c>
      <c r="B199" s="11" t="s">
        <v>151</v>
      </c>
      <c r="C199" s="11" t="s">
        <v>150</v>
      </c>
      <c r="D199" s="24" t="s">
        <v>506</v>
      </c>
      <c r="E199" s="24" t="s">
        <v>398</v>
      </c>
      <c r="F199" s="57">
        <f t="shared" si="7"/>
        <v>0</v>
      </c>
      <c r="G199" s="57">
        <f>G201</f>
        <v>0</v>
      </c>
      <c r="H199" s="57">
        <f>H200</f>
        <v>0</v>
      </c>
    </row>
    <row r="200" spans="1:8" ht="48.75" customHeight="1" hidden="1">
      <c r="A200" s="23" t="s">
        <v>361</v>
      </c>
      <c r="B200" s="11" t="s">
        <v>151</v>
      </c>
      <c r="C200" s="11" t="s">
        <v>150</v>
      </c>
      <c r="D200" s="11" t="s">
        <v>502</v>
      </c>
      <c r="E200" s="11" t="s">
        <v>398</v>
      </c>
      <c r="F200" s="56">
        <f t="shared" si="7"/>
        <v>0</v>
      </c>
      <c r="G200" s="56">
        <f>G202</f>
        <v>0</v>
      </c>
      <c r="H200" s="56">
        <f>H201</f>
        <v>0</v>
      </c>
    </row>
    <row r="201" spans="1:8" ht="21" customHeight="1" hidden="1">
      <c r="A201" s="23" t="s">
        <v>199</v>
      </c>
      <c r="B201" s="11" t="s">
        <v>151</v>
      </c>
      <c r="C201" s="11" t="s">
        <v>150</v>
      </c>
      <c r="D201" s="11" t="s">
        <v>502</v>
      </c>
      <c r="E201" s="11" t="s">
        <v>200</v>
      </c>
      <c r="F201" s="56">
        <f t="shared" si="7"/>
        <v>0</v>
      </c>
      <c r="G201" s="56">
        <f>G202</f>
        <v>0</v>
      </c>
      <c r="H201" s="56">
        <f>H202</f>
        <v>0</v>
      </c>
    </row>
    <row r="202" spans="1:8" ht="17.25" customHeight="1" hidden="1">
      <c r="A202" s="23" t="s">
        <v>169</v>
      </c>
      <c r="B202" s="11" t="s">
        <v>151</v>
      </c>
      <c r="C202" s="11" t="s">
        <v>150</v>
      </c>
      <c r="D202" s="11" t="s">
        <v>502</v>
      </c>
      <c r="E202" s="11" t="s">
        <v>362</v>
      </c>
      <c r="F202" s="56">
        <f t="shared" si="7"/>
        <v>0</v>
      </c>
      <c r="G202" s="56">
        <v>0</v>
      </c>
      <c r="H202" s="56">
        <v>0</v>
      </c>
    </row>
    <row r="203" spans="1:8" ht="66.75" customHeight="1">
      <c r="A203" s="27" t="s">
        <v>983</v>
      </c>
      <c r="B203" s="24" t="s">
        <v>149</v>
      </c>
      <c r="C203" s="24" t="s">
        <v>168</v>
      </c>
      <c r="D203" s="24" t="s">
        <v>986</v>
      </c>
      <c r="E203" s="24" t="s">
        <v>398</v>
      </c>
      <c r="F203" s="57">
        <f>G203+H203</f>
        <v>5</v>
      </c>
      <c r="G203" s="57">
        <f>G204</f>
        <v>5</v>
      </c>
      <c r="H203" s="57"/>
    </row>
    <row r="204" spans="1:8" ht="33.75" customHeight="1">
      <c r="A204" s="23" t="s">
        <v>188</v>
      </c>
      <c r="B204" s="11" t="s">
        <v>149</v>
      </c>
      <c r="C204" s="11" t="s">
        <v>168</v>
      </c>
      <c r="D204" s="11" t="s">
        <v>987</v>
      </c>
      <c r="E204" s="11" t="s">
        <v>158</v>
      </c>
      <c r="F204" s="56">
        <f>G204+H204</f>
        <v>5</v>
      </c>
      <c r="G204" s="56">
        <f>G205</f>
        <v>5</v>
      </c>
      <c r="H204" s="56"/>
    </row>
    <row r="205" spans="1:8" ht="49.5" customHeight="1">
      <c r="A205" s="44" t="s">
        <v>189</v>
      </c>
      <c r="B205" s="11" t="s">
        <v>149</v>
      </c>
      <c r="C205" s="11" t="s">
        <v>168</v>
      </c>
      <c r="D205" s="11" t="s">
        <v>987</v>
      </c>
      <c r="E205" s="11" t="s">
        <v>190</v>
      </c>
      <c r="F205" s="56">
        <f>G205+H205</f>
        <v>5</v>
      </c>
      <c r="G205" s="56">
        <v>5</v>
      </c>
      <c r="H205" s="56"/>
    </row>
    <row r="206" spans="1:8" s="143" customFormat="1" ht="48" customHeight="1">
      <c r="A206" s="54" t="s">
        <v>363</v>
      </c>
      <c r="B206" s="16" t="s">
        <v>156</v>
      </c>
      <c r="C206" s="16" t="s">
        <v>150</v>
      </c>
      <c r="D206" s="16" t="s">
        <v>311</v>
      </c>
      <c r="E206" s="16" t="s">
        <v>398</v>
      </c>
      <c r="F206" s="101">
        <f>G206+H206</f>
        <v>100</v>
      </c>
      <c r="G206" s="101">
        <f>G207</f>
        <v>100</v>
      </c>
      <c r="H206" s="101">
        <f>H207</f>
        <v>0</v>
      </c>
    </row>
    <row r="207" spans="1:8" ht="50.25" customHeight="1">
      <c r="A207" s="23" t="s">
        <v>364</v>
      </c>
      <c r="B207" s="11" t="s">
        <v>156</v>
      </c>
      <c r="C207" s="11" t="s">
        <v>365</v>
      </c>
      <c r="D207" s="11" t="s">
        <v>27</v>
      </c>
      <c r="E207" s="11" t="s">
        <v>398</v>
      </c>
      <c r="F207" s="56">
        <f t="shared" si="7"/>
        <v>100</v>
      </c>
      <c r="G207" s="56">
        <f>G208</f>
        <v>100</v>
      </c>
      <c r="H207" s="56">
        <f>H208</f>
        <v>0</v>
      </c>
    </row>
    <row r="208" spans="1:8" ht="50.25" customHeight="1">
      <c r="A208" s="23" t="s">
        <v>366</v>
      </c>
      <c r="B208" s="11" t="s">
        <v>156</v>
      </c>
      <c r="C208" s="11" t="s">
        <v>365</v>
      </c>
      <c r="D208" s="11" t="s">
        <v>27</v>
      </c>
      <c r="E208" s="11" t="s">
        <v>398</v>
      </c>
      <c r="F208" s="56">
        <f t="shared" si="7"/>
        <v>100</v>
      </c>
      <c r="G208" s="56">
        <f>G210</f>
        <v>100</v>
      </c>
      <c r="H208" s="56">
        <f>H210</f>
        <v>0</v>
      </c>
    </row>
    <row r="209" spans="1:8" ht="33.75" customHeight="1">
      <c r="A209" s="23" t="s">
        <v>188</v>
      </c>
      <c r="B209" s="11" t="s">
        <v>156</v>
      </c>
      <c r="C209" s="11" t="s">
        <v>365</v>
      </c>
      <c r="D209" s="11" t="s">
        <v>27</v>
      </c>
      <c r="E209" s="11" t="s">
        <v>158</v>
      </c>
      <c r="F209" s="56">
        <f t="shared" si="7"/>
        <v>100</v>
      </c>
      <c r="G209" s="56">
        <f>G210</f>
        <v>100</v>
      </c>
      <c r="H209" s="56"/>
    </row>
    <row r="210" spans="1:8" ht="50.25" customHeight="1">
      <c r="A210" s="44" t="s">
        <v>189</v>
      </c>
      <c r="B210" s="11" t="s">
        <v>156</v>
      </c>
      <c r="C210" s="11" t="s">
        <v>365</v>
      </c>
      <c r="D210" s="11" t="s">
        <v>27</v>
      </c>
      <c r="E210" s="11" t="s">
        <v>190</v>
      </c>
      <c r="F210" s="56">
        <f t="shared" si="7"/>
        <v>100</v>
      </c>
      <c r="G210" s="56">
        <v>100</v>
      </c>
      <c r="H210" s="56"/>
    </row>
    <row r="211" spans="1:8" ht="62.25" customHeight="1" hidden="1">
      <c r="A211" s="39" t="s">
        <v>718</v>
      </c>
      <c r="B211" s="24" t="s">
        <v>149</v>
      </c>
      <c r="C211" s="24" t="s">
        <v>168</v>
      </c>
      <c r="D211" s="24" t="s">
        <v>700</v>
      </c>
      <c r="E211" s="24" t="s">
        <v>398</v>
      </c>
      <c r="F211" s="57">
        <f>G211+H211</f>
        <v>0</v>
      </c>
      <c r="G211" s="57"/>
      <c r="H211" s="57">
        <f>H212</f>
        <v>0</v>
      </c>
    </row>
    <row r="212" spans="1:8" ht="97.5" customHeight="1" hidden="1">
      <c r="A212" s="23" t="s">
        <v>185</v>
      </c>
      <c r="B212" s="11" t="s">
        <v>149</v>
      </c>
      <c r="C212" s="11" t="s">
        <v>168</v>
      </c>
      <c r="D212" s="11" t="s">
        <v>700</v>
      </c>
      <c r="E212" s="11" t="s">
        <v>154</v>
      </c>
      <c r="F212" s="56">
        <f>G212+H212</f>
        <v>0</v>
      </c>
      <c r="G212" s="56"/>
      <c r="H212" s="56">
        <f>H213</f>
        <v>0</v>
      </c>
    </row>
    <row r="213" spans="1:8" ht="37.5" customHeight="1" hidden="1">
      <c r="A213" s="44" t="s">
        <v>187</v>
      </c>
      <c r="B213" s="11" t="s">
        <v>149</v>
      </c>
      <c r="C213" s="11" t="s">
        <v>168</v>
      </c>
      <c r="D213" s="11" t="s">
        <v>700</v>
      </c>
      <c r="E213" s="11" t="s">
        <v>186</v>
      </c>
      <c r="F213" s="56">
        <f>G213+H213</f>
        <v>0</v>
      </c>
      <c r="G213" s="56"/>
      <c r="H213" s="56">
        <v>0</v>
      </c>
    </row>
    <row r="214" spans="1:8" ht="79.5" customHeight="1" hidden="1">
      <c r="A214" s="39" t="s">
        <v>715</v>
      </c>
      <c r="B214" s="11" t="s">
        <v>149</v>
      </c>
      <c r="C214" s="11" t="s">
        <v>168</v>
      </c>
      <c r="D214" s="11" t="s">
        <v>701</v>
      </c>
      <c r="E214" s="11" t="s">
        <v>398</v>
      </c>
      <c r="F214" s="56">
        <f>G214</f>
        <v>0</v>
      </c>
      <c r="G214" s="56">
        <f>G215+G217</f>
        <v>0</v>
      </c>
      <c r="H214" s="56"/>
    </row>
    <row r="215" spans="1:8" ht="94.5" customHeight="1" hidden="1">
      <c r="A215" s="23" t="s">
        <v>185</v>
      </c>
      <c r="B215" s="11" t="s">
        <v>149</v>
      </c>
      <c r="C215" s="11" t="s">
        <v>168</v>
      </c>
      <c r="D215" s="11" t="s">
        <v>701</v>
      </c>
      <c r="E215" s="11" t="s">
        <v>154</v>
      </c>
      <c r="F215" s="56">
        <f>G215</f>
        <v>0</v>
      </c>
      <c r="G215" s="56">
        <f>G216</f>
        <v>0</v>
      </c>
      <c r="H215" s="56"/>
    </row>
    <row r="216" spans="1:8" ht="33" customHeight="1" hidden="1">
      <c r="A216" s="44" t="s">
        <v>187</v>
      </c>
      <c r="B216" s="11" t="s">
        <v>149</v>
      </c>
      <c r="C216" s="11" t="s">
        <v>168</v>
      </c>
      <c r="D216" s="11" t="s">
        <v>701</v>
      </c>
      <c r="E216" s="11" t="s">
        <v>186</v>
      </c>
      <c r="F216" s="56">
        <f>G216</f>
        <v>0</v>
      </c>
      <c r="G216" s="56">
        <v>0</v>
      </c>
      <c r="H216" s="56"/>
    </row>
    <row r="217" spans="1:8" ht="37.5" customHeight="1" hidden="1">
      <c r="A217" s="23" t="s">
        <v>188</v>
      </c>
      <c r="B217" s="11" t="s">
        <v>149</v>
      </c>
      <c r="C217" s="11" t="s">
        <v>168</v>
      </c>
      <c r="D217" s="11" t="s">
        <v>701</v>
      </c>
      <c r="E217" s="11" t="s">
        <v>158</v>
      </c>
      <c r="F217" s="56">
        <f>G217</f>
        <v>0</v>
      </c>
      <c r="G217" s="56">
        <f>G218</f>
        <v>0</v>
      </c>
      <c r="H217" s="56"/>
    </row>
    <row r="218" spans="1:8" ht="48" customHeight="1" hidden="1">
      <c r="A218" s="44" t="s">
        <v>189</v>
      </c>
      <c r="B218" s="11" t="s">
        <v>149</v>
      </c>
      <c r="C218" s="11" t="s">
        <v>168</v>
      </c>
      <c r="D218" s="11" t="s">
        <v>701</v>
      </c>
      <c r="E218" s="11" t="s">
        <v>190</v>
      </c>
      <c r="F218" s="56">
        <f>G218</f>
        <v>0</v>
      </c>
      <c r="G218" s="56">
        <v>0</v>
      </c>
      <c r="H218" s="56"/>
    </row>
    <row r="219" spans="1:8" ht="96" customHeight="1" hidden="1">
      <c r="A219" s="39" t="s">
        <v>716</v>
      </c>
      <c r="B219" s="11" t="s">
        <v>149</v>
      </c>
      <c r="C219" s="11" t="s">
        <v>168</v>
      </c>
      <c r="D219" s="24" t="s">
        <v>717</v>
      </c>
      <c r="E219" s="24" t="s">
        <v>398</v>
      </c>
      <c r="F219" s="57">
        <f aca="true" t="shared" si="8" ref="F219:F226">G219+H219</f>
        <v>0</v>
      </c>
      <c r="G219" s="57"/>
      <c r="H219" s="57">
        <f>H220</f>
        <v>0</v>
      </c>
    </row>
    <row r="220" spans="1:8" ht="31.5" customHeight="1" hidden="1">
      <c r="A220" s="23" t="s">
        <v>188</v>
      </c>
      <c r="B220" s="11" t="s">
        <v>149</v>
      </c>
      <c r="C220" s="11" t="s">
        <v>168</v>
      </c>
      <c r="D220" s="11" t="s">
        <v>717</v>
      </c>
      <c r="E220" s="11" t="s">
        <v>158</v>
      </c>
      <c r="F220" s="56">
        <f t="shared" si="8"/>
        <v>0</v>
      </c>
      <c r="G220" s="56"/>
      <c r="H220" s="56">
        <f>H221</f>
        <v>0</v>
      </c>
    </row>
    <row r="221" spans="1:8" ht="48" customHeight="1" hidden="1">
      <c r="A221" s="44" t="s">
        <v>189</v>
      </c>
      <c r="B221" s="11" t="s">
        <v>149</v>
      </c>
      <c r="C221" s="11" t="s">
        <v>168</v>
      </c>
      <c r="D221" s="11" t="s">
        <v>717</v>
      </c>
      <c r="E221" s="11" t="s">
        <v>190</v>
      </c>
      <c r="F221" s="56">
        <f t="shared" si="8"/>
        <v>0</v>
      </c>
      <c r="G221" s="56"/>
      <c r="H221" s="56">
        <v>0</v>
      </c>
    </row>
    <row r="222" spans="1:8" s="143" customFormat="1" ht="48" customHeight="1" hidden="1">
      <c r="A222" s="54" t="s">
        <v>363</v>
      </c>
      <c r="B222" s="16" t="s">
        <v>156</v>
      </c>
      <c r="C222" s="16" t="s">
        <v>150</v>
      </c>
      <c r="D222" s="16" t="s">
        <v>311</v>
      </c>
      <c r="E222" s="16" t="s">
        <v>398</v>
      </c>
      <c r="F222" s="101">
        <f t="shared" si="8"/>
        <v>0</v>
      </c>
      <c r="G222" s="101">
        <f>G223</f>
        <v>0</v>
      </c>
      <c r="H222" s="101">
        <f>H223</f>
        <v>0</v>
      </c>
    </row>
    <row r="223" spans="1:8" ht="50.25" customHeight="1" hidden="1">
      <c r="A223" s="23" t="s">
        <v>364</v>
      </c>
      <c r="B223" s="11" t="s">
        <v>156</v>
      </c>
      <c r="C223" s="11" t="s">
        <v>365</v>
      </c>
      <c r="D223" s="11" t="s">
        <v>311</v>
      </c>
      <c r="E223" s="11" t="s">
        <v>398</v>
      </c>
      <c r="F223" s="56">
        <f t="shared" si="8"/>
        <v>0</v>
      </c>
      <c r="G223" s="56">
        <f>G224</f>
        <v>0</v>
      </c>
      <c r="H223" s="56">
        <f>H224</f>
        <v>0</v>
      </c>
    </row>
    <row r="224" spans="1:8" ht="83.25" customHeight="1" hidden="1">
      <c r="A224" s="23" t="s">
        <v>725</v>
      </c>
      <c r="B224" s="11" t="s">
        <v>156</v>
      </c>
      <c r="C224" s="11" t="s">
        <v>365</v>
      </c>
      <c r="D224" s="11" t="s">
        <v>726</v>
      </c>
      <c r="E224" s="11" t="s">
        <v>398</v>
      </c>
      <c r="F224" s="56">
        <f t="shared" si="8"/>
        <v>0</v>
      </c>
      <c r="G224" s="56">
        <f>G226</f>
        <v>0</v>
      </c>
      <c r="H224" s="56">
        <f>H226</f>
        <v>0</v>
      </c>
    </row>
    <row r="225" spans="1:8" ht="33.75" customHeight="1" hidden="1">
      <c r="A225" s="23" t="s">
        <v>188</v>
      </c>
      <c r="B225" s="11" t="s">
        <v>156</v>
      </c>
      <c r="C225" s="11" t="s">
        <v>365</v>
      </c>
      <c r="D225" s="11" t="s">
        <v>726</v>
      </c>
      <c r="E225" s="11" t="s">
        <v>158</v>
      </c>
      <c r="F225" s="56">
        <f t="shared" si="8"/>
        <v>0</v>
      </c>
      <c r="G225" s="56">
        <f>G226</f>
        <v>0</v>
      </c>
      <c r="H225" s="56"/>
    </row>
    <row r="226" spans="1:8" ht="50.25" customHeight="1" hidden="1">
      <c r="A226" s="44" t="s">
        <v>189</v>
      </c>
      <c r="B226" s="11" t="s">
        <v>156</v>
      </c>
      <c r="C226" s="11" t="s">
        <v>365</v>
      </c>
      <c r="D226" s="11" t="s">
        <v>726</v>
      </c>
      <c r="E226" s="11" t="s">
        <v>190</v>
      </c>
      <c r="F226" s="56">
        <f t="shared" si="8"/>
        <v>0</v>
      </c>
      <c r="G226" s="56">
        <v>0</v>
      </c>
      <c r="H226" s="56"/>
    </row>
    <row r="227" spans="1:10" s="143" customFormat="1" ht="16.5" customHeight="1">
      <c r="A227" s="54" t="s">
        <v>367</v>
      </c>
      <c r="B227" s="16" t="s">
        <v>160</v>
      </c>
      <c r="C227" s="16" t="s">
        <v>150</v>
      </c>
      <c r="D227" s="16" t="s">
        <v>311</v>
      </c>
      <c r="E227" s="16" t="s">
        <v>398</v>
      </c>
      <c r="F227" s="101">
        <f t="shared" si="7"/>
        <v>45108.5744</v>
      </c>
      <c r="G227" s="101">
        <f>G235+G248+G228+G269</f>
        <v>24160.654249999996</v>
      </c>
      <c r="H227" s="101">
        <f>H235+H248+H228+H274</f>
        <v>20947.92015</v>
      </c>
      <c r="J227" s="157"/>
    </row>
    <row r="228" spans="1:9" s="125" customFormat="1" ht="16.5" customHeight="1">
      <c r="A228" s="27" t="s">
        <v>234</v>
      </c>
      <c r="B228" s="24" t="s">
        <v>160</v>
      </c>
      <c r="C228" s="24" t="s">
        <v>377</v>
      </c>
      <c r="D228" s="24" t="s">
        <v>311</v>
      </c>
      <c r="E228" s="24" t="s">
        <v>398</v>
      </c>
      <c r="F228" s="57">
        <f t="shared" si="7"/>
        <v>1064.53307</v>
      </c>
      <c r="G228" s="57">
        <f>G232</f>
        <v>120</v>
      </c>
      <c r="H228" s="57">
        <f>H229</f>
        <v>944.53307</v>
      </c>
      <c r="I228" s="154"/>
    </row>
    <row r="229" spans="1:8" ht="107.25" customHeight="1">
      <c r="A229" s="27" t="s">
        <v>673</v>
      </c>
      <c r="B229" s="24" t="s">
        <v>160</v>
      </c>
      <c r="C229" s="24" t="s">
        <v>377</v>
      </c>
      <c r="D229" s="24" t="s">
        <v>46</v>
      </c>
      <c r="E229" s="24" t="s">
        <v>398</v>
      </c>
      <c r="F229" s="57">
        <f t="shared" si="7"/>
        <v>944.53307</v>
      </c>
      <c r="G229" s="57"/>
      <c r="H229" s="57">
        <f>H230</f>
        <v>944.53307</v>
      </c>
    </row>
    <row r="230" spans="1:8" ht="35.25" customHeight="1">
      <c r="A230" s="23" t="s">
        <v>188</v>
      </c>
      <c r="B230" s="11" t="s">
        <v>160</v>
      </c>
      <c r="C230" s="11" t="s">
        <v>377</v>
      </c>
      <c r="D230" s="11" t="s">
        <v>46</v>
      </c>
      <c r="E230" s="11" t="s">
        <v>158</v>
      </c>
      <c r="F230" s="56">
        <f t="shared" si="7"/>
        <v>944.53307</v>
      </c>
      <c r="G230" s="56"/>
      <c r="H230" s="56">
        <f>H231</f>
        <v>944.53307</v>
      </c>
    </row>
    <row r="231" spans="1:8" ht="48" customHeight="1">
      <c r="A231" s="44" t="s">
        <v>189</v>
      </c>
      <c r="B231" s="11" t="s">
        <v>160</v>
      </c>
      <c r="C231" s="11" t="s">
        <v>377</v>
      </c>
      <c r="D231" s="11" t="s">
        <v>46</v>
      </c>
      <c r="E231" s="11" t="s">
        <v>190</v>
      </c>
      <c r="F231" s="56">
        <f t="shared" si="7"/>
        <v>944.53307</v>
      </c>
      <c r="G231" s="56"/>
      <c r="H231" s="56">
        <f>265.91093+678.62214</f>
        <v>944.53307</v>
      </c>
    </row>
    <row r="232" spans="1:8" ht="76.5" customHeight="1">
      <c r="A232" s="39" t="s">
        <v>928</v>
      </c>
      <c r="B232" s="24" t="s">
        <v>160</v>
      </c>
      <c r="C232" s="24" t="s">
        <v>377</v>
      </c>
      <c r="D232" s="24" t="s">
        <v>929</v>
      </c>
      <c r="E232" s="24" t="s">
        <v>398</v>
      </c>
      <c r="F232" s="57">
        <f>G232+H232</f>
        <v>120</v>
      </c>
      <c r="G232" s="57">
        <f>G233</f>
        <v>120</v>
      </c>
      <c r="H232" s="57"/>
    </row>
    <row r="233" spans="1:8" ht="35.25" customHeight="1">
      <c r="A233" s="23" t="s">
        <v>188</v>
      </c>
      <c r="B233" s="11" t="s">
        <v>160</v>
      </c>
      <c r="C233" s="11" t="s">
        <v>377</v>
      </c>
      <c r="D233" s="11" t="s">
        <v>929</v>
      </c>
      <c r="E233" s="11" t="s">
        <v>158</v>
      </c>
      <c r="F233" s="56">
        <f>G233+H233</f>
        <v>120</v>
      </c>
      <c r="G233" s="56">
        <f>G234</f>
        <v>120</v>
      </c>
      <c r="H233" s="56"/>
    </row>
    <row r="234" spans="1:8" ht="48" customHeight="1">
      <c r="A234" s="44" t="s">
        <v>189</v>
      </c>
      <c r="B234" s="11" t="s">
        <v>160</v>
      </c>
      <c r="C234" s="11" t="s">
        <v>377</v>
      </c>
      <c r="D234" s="11" t="s">
        <v>929</v>
      </c>
      <c r="E234" s="11" t="s">
        <v>190</v>
      </c>
      <c r="F234" s="56">
        <f>G234+H234</f>
        <v>120</v>
      </c>
      <c r="G234" s="56">
        <v>120</v>
      </c>
      <c r="H234" s="56"/>
    </row>
    <row r="235" spans="1:8" s="125" customFormat="1" ht="17.25" customHeight="1">
      <c r="A235" s="27" t="s">
        <v>405</v>
      </c>
      <c r="B235" s="24" t="s">
        <v>160</v>
      </c>
      <c r="C235" s="24" t="s">
        <v>368</v>
      </c>
      <c r="D235" s="24" t="s">
        <v>311</v>
      </c>
      <c r="E235" s="24" t="s">
        <v>398</v>
      </c>
      <c r="F235" s="57">
        <f t="shared" si="7"/>
        <v>1223.77208</v>
      </c>
      <c r="G235" s="57">
        <f>G236</f>
        <v>1220.385</v>
      </c>
      <c r="H235" s="57">
        <f>H237+H245</f>
        <v>3.38708</v>
      </c>
    </row>
    <row r="236" spans="1:8" s="125" customFormat="1" ht="96" customHeight="1">
      <c r="A236" s="27" t="s">
        <v>470</v>
      </c>
      <c r="B236" s="24" t="s">
        <v>160</v>
      </c>
      <c r="C236" s="24" t="s">
        <v>368</v>
      </c>
      <c r="D236" s="24" t="s">
        <v>450</v>
      </c>
      <c r="E236" s="24" t="s">
        <v>398</v>
      </c>
      <c r="F236" s="57">
        <f t="shared" si="7"/>
        <v>1220.385</v>
      </c>
      <c r="G236" s="57">
        <f>G237+G241</f>
        <v>1220.385</v>
      </c>
      <c r="H236" s="57"/>
    </row>
    <row r="237" spans="1:8" ht="18.75" customHeight="1">
      <c r="A237" s="23" t="s">
        <v>406</v>
      </c>
      <c r="B237" s="11" t="s">
        <v>160</v>
      </c>
      <c r="C237" s="11" t="s">
        <v>368</v>
      </c>
      <c r="D237" s="11" t="s">
        <v>471</v>
      </c>
      <c r="E237" s="11" t="s">
        <v>398</v>
      </c>
      <c r="F237" s="56">
        <f t="shared" si="7"/>
        <v>1220.385</v>
      </c>
      <c r="G237" s="56">
        <f>G238+G243</f>
        <v>1220.385</v>
      </c>
      <c r="H237" s="56">
        <f>H238</f>
        <v>0</v>
      </c>
    </row>
    <row r="238" spans="1:8" ht="68.25" customHeight="1">
      <c r="A238" s="23" t="s">
        <v>47</v>
      </c>
      <c r="B238" s="11" t="s">
        <v>160</v>
      </c>
      <c r="C238" s="11" t="s">
        <v>368</v>
      </c>
      <c r="D238" s="11" t="s">
        <v>471</v>
      </c>
      <c r="E238" s="11" t="s">
        <v>398</v>
      </c>
      <c r="F238" s="56">
        <f t="shared" si="7"/>
        <v>1215.385</v>
      </c>
      <c r="G238" s="56">
        <f>G239</f>
        <v>1215.385</v>
      </c>
      <c r="H238" s="56">
        <f>H240</f>
        <v>0</v>
      </c>
    </row>
    <row r="239" spans="1:8" ht="18.75" customHeight="1">
      <c r="A239" s="23" t="s">
        <v>193</v>
      </c>
      <c r="B239" s="11" t="s">
        <v>160</v>
      </c>
      <c r="C239" s="11" t="s">
        <v>368</v>
      </c>
      <c r="D239" s="11" t="s">
        <v>471</v>
      </c>
      <c r="E239" s="11" t="s">
        <v>194</v>
      </c>
      <c r="F239" s="56">
        <f t="shared" si="7"/>
        <v>1215.385</v>
      </c>
      <c r="G239" s="56">
        <f>G240</f>
        <v>1215.385</v>
      </c>
      <c r="H239" s="56"/>
    </row>
    <row r="240" spans="1:8" ht="49.5" customHeight="1">
      <c r="A240" s="23" t="s">
        <v>668</v>
      </c>
      <c r="B240" s="11" t="s">
        <v>160</v>
      </c>
      <c r="C240" s="11" t="s">
        <v>368</v>
      </c>
      <c r="D240" s="11" t="s">
        <v>471</v>
      </c>
      <c r="E240" s="11" t="s">
        <v>375</v>
      </c>
      <c r="F240" s="56">
        <f t="shared" si="7"/>
        <v>1215.385</v>
      </c>
      <c r="G240" s="56">
        <f>2300+420-5-1499.615</f>
        <v>1215.385</v>
      </c>
      <c r="H240" s="56"/>
    </row>
    <row r="241" spans="1:8" ht="19.5" customHeight="1" hidden="1">
      <c r="A241" s="44" t="s">
        <v>199</v>
      </c>
      <c r="B241" s="11" t="s">
        <v>160</v>
      </c>
      <c r="C241" s="11" t="s">
        <v>368</v>
      </c>
      <c r="D241" s="11" t="s">
        <v>471</v>
      </c>
      <c r="E241" s="11" t="s">
        <v>200</v>
      </c>
      <c r="F241" s="56">
        <f t="shared" si="7"/>
        <v>0</v>
      </c>
      <c r="G241" s="56">
        <f>G242</f>
        <v>0</v>
      </c>
      <c r="H241" s="56"/>
    </row>
    <row r="242" spans="1:8" ht="18" customHeight="1" hidden="1">
      <c r="A242" s="44" t="s">
        <v>294</v>
      </c>
      <c r="B242" s="11" t="s">
        <v>160</v>
      </c>
      <c r="C242" s="11" t="s">
        <v>368</v>
      </c>
      <c r="D242" s="11" t="s">
        <v>471</v>
      </c>
      <c r="E242" s="11" t="s">
        <v>440</v>
      </c>
      <c r="F242" s="56">
        <f t="shared" si="7"/>
        <v>0</v>
      </c>
      <c r="G242" s="56">
        <v>0</v>
      </c>
      <c r="H242" s="56"/>
    </row>
    <row r="243" spans="1:8" ht="30.75" customHeight="1">
      <c r="A243" s="23" t="s">
        <v>188</v>
      </c>
      <c r="B243" s="11" t="s">
        <v>160</v>
      </c>
      <c r="C243" s="11" t="s">
        <v>368</v>
      </c>
      <c r="D243" s="11" t="s">
        <v>471</v>
      </c>
      <c r="E243" s="11" t="s">
        <v>158</v>
      </c>
      <c r="F243" s="56">
        <f>G243</f>
        <v>5</v>
      </c>
      <c r="G243" s="56">
        <f>G244</f>
        <v>5</v>
      </c>
      <c r="H243" s="56"/>
    </row>
    <row r="244" spans="1:8" ht="50.25" customHeight="1">
      <c r="A244" s="44" t="s">
        <v>189</v>
      </c>
      <c r="B244" s="11" t="s">
        <v>160</v>
      </c>
      <c r="C244" s="11" t="s">
        <v>368</v>
      </c>
      <c r="D244" s="11" t="s">
        <v>471</v>
      </c>
      <c r="E244" s="11" t="s">
        <v>190</v>
      </c>
      <c r="F244" s="56">
        <f>G244</f>
        <v>5</v>
      </c>
      <c r="G244" s="56">
        <v>5</v>
      </c>
      <c r="H244" s="56"/>
    </row>
    <row r="245" spans="1:8" ht="144" customHeight="1">
      <c r="A245" s="39" t="s">
        <v>539</v>
      </c>
      <c r="B245" s="24" t="s">
        <v>160</v>
      </c>
      <c r="C245" s="24" t="s">
        <v>368</v>
      </c>
      <c r="D245" s="24" t="s">
        <v>311</v>
      </c>
      <c r="E245" s="24" t="s">
        <v>398</v>
      </c>
      <c r="F245" s="57">
        <f>G245+H245</f>
        <v>3.38708</v>
      </c>
      <c r="G245" s="57"/>
      <c r="H245" s="57">
        <f>H246</f>
        <v>3.38708</v>
      </c>
    </row>
    <row r="246" spans="1:8" ht="36.75" customHeight="1">
      <c r="A246" s="23" t="s">
        <v>188</v>
      </c>
      <c r="B246" s="11" t="s">
        <v>160</v>
      </c>
      <c r="C246" s="11" t="s">
        <v>368</v>
      </c>
      <c r="D246" s="11" t="s">
        <v>540</v>
      </c>
      <c r="E246" s="11" t="s">
        <v>158</v>
      </c>
      <c r="F246" s="56">
        <f>G246+H246</f>
        <v>3.38708</v>
      </c>
      <c r="G246" s="56"/>
      <c r="H246" s="56">
        <f>H247</f>
        <v>3.38708</v>
      </c>
    </row>
    <row r="247" spans="1:8" ht="33.75" customHeight="1">
      <c r="A247" s="44" t="s">
        <v>189</v>
      </c>
      <c r="B247" s="11" t="s">
        <v>160</v>
      </c>
      <c r="C247" s="11" t="s">
        <v>368</v>
      </c>
      <c r="D247" s="11" t="s">
        <v>540</v>
      </c>
      <c r="E247" s="11" t="s">
        <v>190</v>
      </c>
      <c r="F247" s="56">
        <f>G247+H247</f>
        <v>3.38708</v>
      </c>
      <c r="G247" s="56"/>
      <c r="H247" s="56">
        <v>3.38708</v>
      </c>
    </row>
    <row r="248" spans="1:8" s="125" customFormat="1" ht="17.25" customHeight="1">
      <c r="A248" s="27" t="s">
        <v>369</v>
      </c>
      <c r="B248" s="24" t="s">
        <v>160</v>
      </c>
      <c r="C248" s="24" t="s">
        <v>365</v>
      </c>
      <c r="D248" s="24" t="s">
        <v>311</v>
      </c>
      <c r="E248" s="24" t="s">
        <v>398</v>
      </c>
      <c r="F248" s="57">
        <f t="shared" si="7"/>
        <v>42807.14883</v>
      </c>
      <c r="G248" s="57">
        <f>G249+G262</f>
        <v>22807.14883</v>
      </c>
      <c r="H248" s="57">
        <f>H249</f>
        <v>20000</v>
      </c>
    </row>
    <row r="249" spans="1:9" s="125" customFormat="1" ht="94.5" customHeight="1">
      <c r="A249" s="27" t="s">
        <v>470</v>
      </c>
      <c r="B249" s="24" t="s">
        <v>160</v>
      </c>
      <c r="C249" s="24" t="s">
        <v>365</v>
      </c>
      <c r="D249" s="24" t="s">
        <v>450</v>
      </c>
      <c r="E249" s="24" t="s">
        <v>398</v>
      </c>
      <c r="F249" s="57">
        <f t="shared" si="7"/>
        <v>42726.84883</v>
      </c>
      <c r="G249" s="57">
        <f>G250+G253+G257</f>
        <v>22726.84883</v>
      </c>
      <c r="H249" s="57">
        <f>H250+H257</f>
        <v>20000</v>
      </c>
      <c r="I249" s="131"/>
    </row>
    <row r="250" spans="1:9" ht="33.75" customHeight="1">
      <c r="A250" s="23" t="s">
        <v>370</v>
      </c>
      <c r="B250" s="11" t="s">
        <v>160</v>
      </c>
      <c r="C250" s="11" t="s">
        <v>365</v>
      </c>
      <c r="D250" s="11" t="s">
        <v>473</v>
      </c>
      <c r="E250" s="11" t="s">
        <v>398</v>
      </c>
      <c r="F250" s="56">
        <f aca="true" t="shared" si="9" ref="F250:F268">G250</f>
        <v>8616.28544</v>
      </c>
      <c r="G250" s="56">
        <f>G251</f>
        <v>8616.28544</v>
      </c>
      <c r="H250" s="56">
        <f>H252</f>
        <v>0</v>
      </c>
      <c r="I250" s="126"/>
    </row>
    <row r="251" spans="1:8" ht="35.25" customHeight="1">
      <c r="A251" s="23" t="s">
        <v>188</v>
      </c>
      <c r="B251" s="11" t="s">
        <v>160</v>
      </c>
      <c r="C251" s="11" t="s">
        <v>365</v>
      </c>
      <c r="D251" s="11" t="s">
        <v>473</v>
      </c>
      <c r="E251" s="11" t="s">
        <v>158</v>
      </c>
      <c r="F251" s="56">
        <f t="shared" si="9"/>
        <v>8616.28544</v>
      </c>
      <c r="G251" s="56">
        <f>G252</f>
        <v>8616.28544</v>
      </c>
      <c r="H251" s="56"/>
    </row>
    <row r="252" spans="1:8" ht="47.25" customHeight="1">
      <c r="A252" s="44" t="s">
        <v>189</v>
      </c>
      <c r="B252" s="11" t="s">
        <v>160</v>
      </c>
      <c r="C252" s="11" t="s">
        <v>365</v>
      </c>
      <c r="D252" s="11" t="s">
        <v>473</v>
      </c>
      <c r="E252" s="11" t="s">
        <v>190</v>
      </c>
      <c r="F252" s="56">
        <f t="shared" si="9"/>
        <v>8616.28544</v>
      </c>
      <c r="G252" s="56">
        <f>4183.9798+8726.84883-4700+391.0685+14.38831</f>
        <v>8616.28544</v>
      </c>
      <c r="H252" s="56"/>
    </row>
    <row r="253" spans="1:8" ht="22.5" customHeight="1">
      <c r="A253" s="44" t="s">
        <v>199</v>
      </c>
      <c r="B253" s="11" t="s">
        <v>160</v>
      </c>
      <c r="C253" s="11" t="s">
        <v>365</v>
      </c>
      <c r="D253" s="11" t="s">
        <v>472</v>
      </c>
      <c r="E253" s="11" t="s">
        <v>200</v>
      </c>
      <c r="F253" s="56">
        <f t="shared" si="9"/>
        <v>13908.54319</v>
      </c>
      <c r="G253" s="56">
        <f>G254+G255+G256</f>
        <v>13908.54319</v>
      </c>
      <c r="H253" s="56"/>
    </row>
    <row r="254" spans="1:8" ht="20.25" customHeight="1">
      <c r="A254" s="44" t="s">
        <v>294</v>
      </c>
      <c r="B254" s="11" t="s">
        <v>160</v>
      </c>
      <c r="C254" s="11" t="s">
        <v>365</v>
      </c>
      <c r="D254" s="11" t="s">
        <v>472</v>
      </c>
      <c r="E254" s="11" t="s">
        <v>440</v>
      </c>
      <c r="F254" s="56">
        <f t="shared" si="9"/>
        <v>9222.9315</v>
      </c>
      <c r="G254" s="56">
        <f>9614-391.0685</f>
        <v>9222.9315</v>
      </c>
      <c r="H254" s="127"/>
    </row>
    <row r="255" spans="1:8" ht="95.25" customHeight="1">
      <c r="A255" s="44" t="s">
        <v>490</v>
      </c>
      <c r="B255" s="11" t="s">
        <v>160</v>
      </c>
      <c r="C255" s="11" t="s">
        <v>365</v>
      </c>
      <c r="D255" s="11" t="s">
        <v>491</v>
      </c>
      <c r="E255" s="11" t="s">
        <v>440</v>
      </c>
      <c r="F255" s="56">
        <f>G255</f>
        <v>4685.61169</v>
      </c>
      <c r="G255" s="56">
        <f>4700-14.38831</f>
        <v>4685.61169</v>
      </c>
      <c r="H255" s="127"/>
    </row>
    <row r="256" spans="1:8" ht="30" customHeight="1" hidden="1">
      <c r="A256" s="44" t="s">
        <v>494</v>
      </c>
      <c r="B256" s="11" t="s">
        <v>160</v>
      </c>
      <c r="C256" s="11" t="s">
        <v>365</v>
      </c>
      <c r="D256" s="11" t="s">
        <v>495</v>
      </c>
      <c r="E256" s="11" t="s">
        <v>440</v>
      </c>
      <c r="F256" s="56">
        <f>G256</f>
        <v>0</v>
      </c>
      <c r="G256" s="56"/>
      <c r="H256" s="127"/>
    </row>
    <row r="257" spans="1:8" ht="30" customHeight="1">
      <c r="A257" s="39" t="s">
        <v>680</v>
      </c>
      <c r="B257" s="24" t="s">
        <v>160</v>
      </c>
      <c r="C257" s="24" t="s">
        <v>365</v>
      </c>
      <c r="D257" s="24" t="s">
        <v>450</v>
      </c>
      <c r="E257" s="24" t="s">
        <v>398</v>
      </c>
      <c r="F257" s="57">
        <f>G257+H257</f>
        <v>20202.0202</v>
      </c>
      <c r="G257" s="57">
        <f>G259+G261</f>
        <v>202.0202</v>
      </c>
      <c r="H257" s="57">
        <f>H259+H261</f>
        <v>20000</v>
      </c>
    </row>
    <row r="258" spans="1:8" ht="35.25" customHeight="1">
      <c r="A258" s="23" t="s">
        <v>188</v>
      </c>
      <c r="B258" s="11" t="s">
        <v>160</v>
      </c>
      <c r="C258" s="11" t="s">
        <v>365</v>
      </c>
      <c r="D258" s="11" t="s">
        <v>674</v>
      </c>
      <c r="E258" s="11" t="s">
        <v>158</v>
      </c>
      <c r="F258" s="56">
        <f>G258+H258</f>
        <v>20000</v>
      </c>
      <c r="G258" s="56"/>
      <c r="H258" s="56">
        <f>H259</f>
        <v>20000</v>
      </c>
    </row>
    <row r="259" spans="1:8" ht="46.5">
      <c r="A259" s="44" t="s">
        <v>189</v>
      </c>
      <c r="B259" s="11" t="s">
        <v>160</v>
      </c>
      <c r="C259" s="11" t="s">
        <v>365</v>
      </c>
      <c r="D259" s="11" t="s">
        <v>674</v>
      </c>
      <c r="E259" s="11" t="s">
        <v>190</v>
      </c>
      <c r="F259" s="56">
        <f>G259+H259</f>
        <v>20000</v>
      </c>
      <c r="G259" s="56"/>
      <c r="H259" s="56">
        <v>20000</v>
      </c>
    </row>
    <row r="260" spans="1:8" ht="30.75">
      <c r="A260" s="23" t="s">
        <v>188</v>
      </c>
      <c r="B260" s="11" t="s">
        <v>160</v>
      </c>
      <c r="C260" s="11" t="s">
        <v>365</v>
      </c>
      <c r="D260" s="11" t="s">
        <v>695</v>
      </c>
      <c r="E260" s="11" t="s">
        <v>158</v>
      </c>
      <c r="F260" s="56">
        <f>G260</f>
        <v>202.0202</v>
      </c>
      <c r="G260" s="56">
        <f>G261</f>
        <v>202.0202</v>
      </c>
      <c r="H260" s="56"/>
    </row>
    <row r="261" spans="1:8" ht="46.5">
      <c r="A261" s="44" t="s">
        <v>189</v>
      </c>
      <c r="B261" s="11" t="s">
        <v>160</v>
      </c>
      <c r="C261" s="11" t="s">
        <v>365</v>
      </c>
      <c r="D261" s="11" t="s">
        <v>695</v>
      </c>
      <c r="E261" s="11" t="s">
        <v>190</v>
      </c>
      <c r="F261" s="56">
        <f>G261</f>
        <v>202.0202</v>
      </c>
      <c r="G261" s="56">
        <v>202.0202</v>
      </c>
      <c r="H261" s="127"/>
    </row>
    <row r="262" spans="1:8" ht="30.75">
      <c r="A262" s="39" t="s">
        <v>152</v>
      </c>
      <c r="B262" s="24" t="s">
        <v>160</v>
      </c>
      <c r="C262" s="24" t="s">
        <v>365</v>
      </c>
      <c r="D262" s="24" t="s">
        <v>17</v>
      </c>
      <c r="E262" s="24" t="s">
        <v>398</v>
      </c>
      <c r="F262" s="57">
        <f t="shared" si="9"/>
        <v>80.3</v>
      </c>
      <c r="G262" s="57">
        <f>G263</f>
        <v>80.3</v>
      </c>
      <c r="H262" s="128"/>
    </row>
    <row r="263" spans="1:8" ht="34.5" customHeight="1">
      <c r="A263" s="44" t="s">
        <v>153</v>
      </c>
      <c r="B263" s="11" t="s">
        <v>160</v>
      </c>
      <c r="C263" s="11" t="s">
        <v>365</v>
      </c>
      <c r="D263" s="11" t="s">
        <v>18</v>
      </c>
      <c r="E263" s="11" t="s">
        <v>398</v>
      </c>
      <c r="F263" s="56">
        <f t="shared" si="9"/>
        <v>80.3</v>
      </c>
      <c r="G263" s="56">
        <f>G264</f>
        <v>80.3</v>
      </c>
      <c r="H263" s="127"/>
    </row>
    <row r="264" spans="1:8" ht="20.25" customHeight="1">
      <c r="A264" s="23" t="s">
        <v>541</v>
      </c>
      <c r="B264" s="11" t="s">
        <v>160</v>
      </c>
      <c r="C264" s="11" t="s">
        <v>365</v>
      </c>
      <c r="D264" s="4" t="s">
        <v>542</v>
      </c>
      <c r="E264" s="11" t="s">
        <v>398</v>
      </c>
      <c r="F264" s="56">
        <f t="shared" si="9"/>
        <v>80.3</v>
      </c>
      <c r="G264" s="56">
        <f>G265+G267</f>
        <v>80.3</v>
      </c>
      <c r="H264" s="127"/>
    </row>
    <row r="265" spans="1:9" ht="24" customHeight="1" hidden="1">
      <c r="A265" s="23" t="s">
        <v>188</v>
      </c>
      <c r="B265" s="11" t="s">
        <v>160</v>
      </c>
      <c r="C265" s="11" t="s">
        <v>365</v>
      </c>
      <c r="D265" s="4" t="s">
        <v>542</v>
      </c>
      <c r="E265" s="11" t="s">
        <v>158</v>
      </c>
      <c r="F265" s="56">
        <f t="shared" si="9"/>
        <v>0</v>
      </c>
      <c r="G265" s="56">
        <f>G266</f>
        <v>0</v>
      </c>
      <c r="H265" s="127"/>
      <c r="I265" s="130"/>
    </row>
    <row r="266" spans="1:9" ht="29.25" customHeight="1" hidden="1">
      <c r="A266" s="44" t="s">
        <v>189</v>
      </c>
      <c r="B266" s="11" t="s">
        <v>160</v>
      </c>
      <c r="C266" s="11" t="s">
        <v>365</v>
      </c>
      <c r="D266" s="4" t="s">
        <v>542</v>
      </c>
      <c r="E266" s="11" t="s">
        <v>190</v>
      </c>
      <c r="F266" s="56">
        <f t="shared" si="9"/>
        <v>0</v>
      </c>
      <c r="G266" s="56">
        <v>0</v>
      </c>
      <c r="H266" s="127"/>
      <c r="I266" s="130"/>
    </row>
    <row r="267" spans="1:9" ht="22.5" customHeight="1">
      <c r="A267" s="23" t="s">
        <v>193</v>
      </c>
      <c r="B267" s="11" t="s">
        <v>160</v>
      </c>
      <c r="C267" s="11" t="s">
        <v>365</v>
      </c>
      <c r="D267" s="4" t="s">
        <v>542</v>
      </c>
      <c r="E267" s="11" t="s">
        <v>194</v>
      </c>
      <c r="F267" s="56">
        <f t="shared" si="9"/>
        <v>80.3</v>
      </c>
      <c r="G267" s="56">
        <f>G268</f>
        <v>80.3</v>
      </c>
      <c r="H267" s="127"/>
      <c r="I267" s="130"/>
    </row>
    <row r="268" spans="1:9" ht="19.5" customHeight="1">
      <c r="A268" s="52" t="s">
        <v>191</v>
      </c>
      <c r="B268" s="11" t="s">
        <v>160</v>
      </c>
      <c r="C268" s="11" t="s">
        <v>365</v>
      </c>
      <c r="D268" s="4" t="s">
        <v>542</v>
      </c>
      <c r="E268" s="11" t="s">
        <v>192</v>
      </c>
      <c r="F268" s="56">
        <f t="shared" si="9"/>
        <v>80.3</v>
      </c>
      <c r="G268" s="99">
        <v>80.3</v>
      </c>
      <c r="H268" s="127"/>
      <c r="I268" s="130"/>
    </row>
    <row r="269" spans="1:8" ht="30.75">
      <c r="A269" s="39" t="s">
        <v>350</v>
      </c>
      <c r="B269" s="24" t="s">
        <v>160</v>
      </c>
      <c r="C269" s="24" t="s">
        <v>371</v>
      </c>
      <c r="D269" s="24" t="s">
        <v>311</v>
      </c>
      <c r="E269" s="24" t="s">
        <v>398</v>
      </c>
      <c r="F269" s="57">
        <f>G269+H269</f>
        <v>13.120419999999996</v>
      </c>
      <c r="G269" s="57">
        <f>G270</f>
        <v>13.120419999999996</v>
      </c>
      <c r="H269" s="115">
        <f>H270</f>
        <v>0</v>
      </c>
    </row>
    <row r="270" spans="1:8" ht="60" customHeight="1">
      <c r="A270" s="27" t="s">
        <v>447</v>
      </c>
      <c r="B270" s="24" t="s">
        <v>160</v>
      </c>
      <c r="C270" s="24" t="s">
        <v>371</v>
      </c>
      <c r="D270" s="24" t="s">
        <v>448</v>
      </c>
      <c r="E270" s="24" t="s">
        <v>398</v>
      </c>
      <c r="F270" s="57">
        <f t="shared" si="7"/>
        <v>13.120419999999996</v>
      </c>
      <c r="G270" s="57">
        <f>G271</f>
        <v>13.120419999999996</v>
      </c>
      <c r="H270" s="57">
        <f>H271</f>
        <v>0</v>
      </c>
    </row>
    <row r="271" spans="1:8" ht="113.25" customHeight="1">
      <c r="A271" s="23" t="s">
        <v>373</v>
      </c>
      <c r="B271" s="11" t="s">
        <v>160</v>
      </c>
      <c r="C271" s="11" t="s">
        <v>371</v>
      </c>
      <c r="D271" s="11" t="s">
        <v>449</v>
      </c>
      <c r="E271" s="11" t="s">
        <v>398</v>
      </c>
      <c r="F271" s="56">
        <f t="shared" si="7"/>
        <v>13.120419999999996</v>
      </c>
      <c r="G271" s="56">
        <f>G272</f>
        <v>13.120419999999996</v>
      </c>
      <c r="H271" s="56">
        <f>H273</f>
        <v>0</v>
      </c>
    </row>
    <row r="272" spans="1:8" ht="18.75" customHeight="1">
      <c r="A272" s="23" t="s">
        <v>193</v>
      </c>
      <c r="B272" s="11" t="s">
        <v>160</v>
      </c>
      <c r="C272" s="11" t="s">
        <v>371</v>
      </c>
      <c r="D272" s="11" t="s">
        <v>449</v>
      </c>
      <c r="E272" s="11" t="s">
        <v>194</v>
      </c>
      <c r="F272" s="56">
        <f t="shared" si="7"/>
        <v>13.120419999999996</v>
      </c>
      <c r="G272" s="56">
        <f>G273</f>
        <v>13.120419999999996</v>
      </c>
      <c r="H272" s="56"/>
    </row>
    <row r="273" spans="1:8" ht="60.75" customHeight="1">
      <c r="A273" s="23" t="s">
        <v>374</v>
      </c>
      <c r="B273" s="11" t="s">
        <v>160</v>
      </c>
      <c r="C273" s="11" t="s">
        <v>371</v>
      </c>
      <c r="D273" s="11" t="s">
        <v>449</v>
      </c>
      <c r="E273" s="11" t="s">
        <v>375</v>
      </c>
      <c r="F273" s="56">
        <f t="shared" si="7"/>
        <v>13.120419999999996</v>
      </c>
      <c r="G273" s="56">
        <f>200-186.87958</f>
        <v>13.120419999999996</v>
      </c>
      <c r="H273" s="56"/>
    </row>
    <row r="274" spans="1:8" ht="110.25" customHeight="1" hidden="1">
      <c r="A274" s="27"/>
      <c r="B274" s="24"/>
      <c r="C274" s="24"/>
      <c r="D274" s="24"/>
      <c r="E274" s="24"/>
      <c r="F274" s="57"/>
      <c r="G274" s="57"/>
      <c r="H274" s="57"/>
    </row>
    <row r="275" spans="1:8" ht="24" customHeight="1" hidden="1">
      <c r="A275" s="44"/>
      <c r="B275" s="11"/>
      <c r="C275" s="11"/>
      <c r="D275" s="11"/>
      <c r="E275" s="11"/>
      <c r="F275" s="56"/>
      <c r="G275" s="56"/>
      <c r="H275" s="56"/>
    </row>
    <row r="276" spans="1:8" ht="25.5" customHeight="1" hidden="1">
      <c r="A276" s="44"/>
      <c r="B276" s="11"/>
      <c r="C276" s="11"/>
      <c r="D276" s="11"/>
      <c r="E276" s="11"/>
      <c r="F276" s="56"/>
      <c r="G276" s="56"/>
      <c r="H276" s="56"/>
    </row>
    <row r="277" spans="1:10" s="143" customFormat="1" ht="32.25" customHeight="1">
      <c r="A277" s="54" t="s">
        <v>376</v>
      </c>
      <c r="B277" s="16" t="s">
        <v>377</v>
      </c>
      <c r="C277" s="16" t="s">
        <v>150</v>
      </c>
      <c r="D277" s="16" t="s">
        <v>311</v>
      </c>
      <c r="E277" s="16" t="s">
        <v>398</v>
      </c>
      <c r="F277" s="101">
        <f>G277+H277</f>
        <v>6450.82215</v>
      </c>
      <c r="G277" s="101">
        <f>G278+G311+G302</f>
        <v>6449.538</v>
      </c>
      <c r="H277" s="101">
        <f>H278+H311+H302</f>
        <v>1.28415</v>
      </c>
      <c r="J277" s="157"/>
    </row>
    <row r="278" spans="1:10" s="125" customFormat="1" ht="16.5" customHeight="1">
      <c r="A278" s="27" t="s">
        <v>351</v>
      </c>
      <c r="B278" s="24" t="s">
        <v>377</v>
      </c>
      <c r="C278" s="24" t="s">
        <v>151</v>
      </c>
      <c r="D278" s="24" t="s">
        <v>311</v>
      </c>
      <c r="E278" s="24" t="s">
        <v>398</v>
      </c>
      <c r="F278" s="57">
        <f t="shared" si="7"/>
        <v>2133.566</v>
      </c>
      <c r="G278" s="57">
        <f>G279+G286+G289+G294+G299</f>
        <v>2133.566</v>
      </c>
      <c r="H278" s="57">
        <f>H279+H289</f>
        <v>0</v>
      </c>
      <c r="I278" s="154"/>
      <c r="J278" s="154"/>
    </row>
    <row r="279" spans="1:8" ht="17.25" customHeight="1">
      <c r="A279" s="23" t="s">
        <v>352</v>
      </c>
      <c r="B279" s="11" t="s">
        <v>377</v>
      </c>
      <c r="C279" s="11" t="s">
        <v>151</v>
      </c>
      <c r="D279" s="11" t="s">
        <v>30</v>
      </c>
      <c r="E279" s="11" t="s">
        <v>398</v>
      </c>
      <c r="F279" s="56">
        <f t="shared" si="7"/>
        <v>2013.566</v>
      </c>
      <c r="G279" s="56">
        <f>G280+G283</f>
        <v>2013.566</v>
      </c>
      <c r="H279" s="56">
        <f>H280</f>
        <v>0</v>
      </c>
    </row>
    <row r="280" spans="1:8" ht="33.75" customHeight="1">
      <c r="A280" s="23" t="s">
        <v>543</v>
      </c>
      <c r="B280" s="11" t="s">
        <v>377</v>
      </c>
      <c r="C280" s="11" t="s">
        <v>151</v>
      </c>
      <c r="D280" s="11" t="s">
        <v>30</v>
      </c>
      <c r="E280" s="11" t="s">
        <v>398</v>
      </c>
      <c r="F280" s="56">
        <f t="shared" si="7"/>
        <v>321.79999999999995</v>
      </c>
      <c r="G280" s="56">
        <f>G281</f>
        <v>321.79999999999995</v>
      </c>
      <c r="H280" s="56">
        <f>H282</f>
        <v>0</v>
      </c>
    </row>
    <row r="281" spans="1:8" ht="33.75" customHeight="1">
      <c r="A281" s="23" t="s">
        <v>188</v>
      </c>
      <c r="B281" s="11" t="s">
        <v>377</v>
      </c>
      <c r="C281" s="11" t="s">
        <v>151</v>
      </c>
      <c r="D281" s="11" t="s">
        <v>30</v>
      </c>
      <c r="E281" s="11" t="s">
        <v>158</v>
      </c>
      <c r="F281" s="56">
        <f t="shared" si="7"/>
        <v>321.79999999999995</v>
      </c>
      <c r="G281" s="56">
        <f>G282</f>
        <v>321.79999999999995</v>
      </c>
      <c r="H281" s="56"/>
    </row>
    <row r="282" spans="1:8" ht="48.75" customHeight="1">
      <c r="A282" s="44" t="s">
        <v>189</v>
      </c>
      <c r="B282" s="11" t="s">
        <v>377</v>
      </c>
      <c r="C282" s="11" t="s">
        <v>151</v>
      </c>
      <c r="D282" s="11" t="s">
        <v>30</v>
      </c>
      <c r="E282" s="11" t="s">
        <v>190</v>
      </c>
      <c r="F282" s="56">
        <f t="shared" si="7"/>
        <v>321.79999999999995</v>
      </c>
      <c r="G282" s="99">
        <f>521.8-200</f>
        <v>321.79999999999995</v>
      </c>
      <c r="H282" s="56"/>
    </row>
    <row r="283" spans="1:8" ht="33" customHeight="1">
      <c r="A283" s="23" t="s">
        <v>469</v>
      </c>
      <c r="B283" s="11" t="s">
        <v>377</v>
      </c>
      <c r="C283" s="11" t="s">
        <v>151</v>
      </c>
      <c r="D283" s="11" t="s">
        <v>98</v>
      </c>
      <c r="E283" s="11" t="s">
        <v>398</v>
      </c>
      <c r="F283" s="56">
        <f t="shared" si="7"/>
        <v>1691.766</v>
      </c>
      <c r="G283" s="56">
        <f>G284</f>
        <v>1691.766</v>
      </c>
      <c r="H283" s="56"/>
    </row>
    <row r="284" spans="1:8" ht="31.5" customHeight="1">
      <c r="A284" s="23" t="s">
        <v>188</v>
      </c>
      <c r="B284" s="11" t="s">
        <v>377</v>
      </c>
      <c r="C284" s="11" t="s">
        <v>151</v>
      </c>
      <c r="D284" s="11" t="s">
        <v>98</v>
      </c>
      <c r="E284" s="11" t="s">
        <v>158</v>
      </c>
      <c r="F284" s="56">
        <f t="shared" si="7"/>
        <v>1691.766</v>
      </c>
      <c r="G284" s="56">
        <f>G285</f>
        <v>1691.766</v>
      </c>
      <c r="H284" s="56"/>
    </row>
    <row r="285" spans="1:8" ht="48" customHeight="1">
      <c r="A285" s="44" t="s">
        <v>189</v>
      </c>
      <c r="B285" s="11" t="s">
        <v>377</v>
      </c>
      <c r="C285" s="11" t="s">
        <v>151</v>
      </c>
      <c r="D285" s="11" t="s">
        <v>98</v>
      </c>
      <c r="E285" s="11" t="s">
        <v>190</v>
      </c>
      <c r="F285" s="56">
        <f t="shared" si="7"/>
        <v>1691.766</v>
      </c>
      <c r="G285" s="99">
        <f>812.9+878.866</f>
        <v>1691.766</v>
      </c>
      <c r="H285" s="56"/>
    </row>
    <row r="286" spans="1:8" ht="48" customHeight="1" hidden="1">
      <c r="A286" s="39" t="s">
        <v>702</v>
      </c>
      <c r="B286" s="24" t="s">
        <v>377</v>
      </c>
      <c r="C286" s="24" t="s">
        <v>151</v>
      </c>
      <c r="D286" s="24" t="s">
        <v>703</v>
      </c>
      <c r="E286" s="24" t="s">
        <v>398</v>
      </c>
      <c r="F286" s="57">
        <f t="shared" si="7"/>
        <v>0</v>
      </c>
      <c r="G286" s="57">
        <f>G287</f>
        <v>0</v>
      </c>
      <c r="H286" s="57"/>
    </row>
    <row r="287" spans="1:8" ht="36" customHeight="1" hidden="1">
      <c r="A287" s="23" t="s">
        <v>188</v>
      </c>
      <c r="B287" s="11" t="s">
        <v>377</v>
      </c>
      <c r="C287" s="11" t="s">
        <v>151</v>
      </c>
      <c r="D287" s="11" t="s">
        <v>703</v>
      </c>
      <c r="E287" s="11" t="s">
        <v>158</v>
      </c>
      <c r="F287" s="56">
        <f t="shared" si="7"/>
        <v>0</v>
      </c>
      <c r="G287" s="56">
        <f>G288</f>
        <v>0</v>
      </c>
      <c r="H287" s="56"/>
    </row>
    <row r="288" spans="1:8" ht="48" customHeight="1" hidden="1">
      <c r="A288" s="44" t="s">
        <v>189</v>
      </c>
      <c r="B288" s="11" t="s">
        <v>377</v>
      </c>
      <c r="C288" s="11" t="s">
        <v>151</v>
      </c>
      <c r="D288" s="11" t="s">
        <v>703</v>
      </c>
      <c r="E288" s="11" t="s">
        <v>190</v>
      </c>
      <c r="F288" s="56">
        <f t="shared" si="7"/>
        <v>0</v>
      </c>
      <c r="G288" s="56">
        <v>0</v>
      </c>
      <c r="H288" s="56"/>
    </row>
    <row r="289" spans="1:8" ht="81.75" customHeight="1" hidden="1">
      <c r="A289" s="27" t="s">
        <v>544</v>
      </c>
      <c r="B289" s="24" t="s">
        <v>377</v>
      </c>
      <c r="C289" s="24" t="s">
        <v>151</v>
      </c>
      <c r="D289" s="24" t="s">
        <v>545</v>
      </c>
      <c r="E289" s="24" t="s">
        <v>398</v>
      </c>
      <c r="F289" s="57">
        <f t="shared" si="7"/>
        <v>0</v>
      </c>
      <c r="G289" s="57">
        <f>G290</f>
        <v>0</v>
      </c>
      <c r="H289" s="57">
        <f>H290</f>
        <v>0</v>
      </c>
    </row>
    <row r="290" spans="1:8" ht="63" customHeight="1" hidden="1">
      <c r="A290" s="44" t="s">
        <v>546</v>
      </c>
      <c r="B290" s="11" t="s">
        <v>377</v>
      </c>
      <c r="C290" s="11" t="s">
        <v>151</v>
      </c>
      <c r="D290" s="11" t="s">
        <v>545</v>
      </c>
      <c r="E290" s="11" t="s">
        <v>398</v>
      </c>
      <c r="F290" s="56">
        <f t="shared" si="7"/>
        <v>0</v>
      </c>
      <c r="G290" s="56">
        <f>G291</f>
        <v>0</v>
      </c>
      <c r="H290" s="56">
        <f>H291</f>
        <v>0</v>
      </c>
    </row>
    <row r="291" spans="1:8" ht="24" customHeight="1" hidden="1">
      <c r="A291" s="23" t="s">
        <v>193</v>
      </c>
      <c r="B291" s="11" t="s">
        <v>377</v>
      </c>
      <c r="C291" s="11" t="s">
        <v>151</v>
      </c>
      <c r="D291" s="11" t="s">
        <v>545</v>
      </c>
      <c r="E291" s="11" t="s">
        <v>194</v>
      </c>
      <c r="F291" s="56">
        <f t="shared" si="7"/>
        <v>0</v>
      </c>
      <c r="G291" s="56">
        <f>G293</f>
        <v>0</v>
      </c>
      <c r="H291" s="56">
        <f>H292</f>
        <v>0</v>
      </c>
    </row>
    <row r="292" spans="1:8" ht="63" customHeight="1" hidden="1">
      <c r="A292" s="23" t="s">
        <v>669</v>
      </c>
      <c r="B292" s="11" t="s">
        <v>377</v>
      </c>
      <c r="C292" s="11" t="s">
        <v>151</v>
      </c>
      <c r="D292" s="11" t="s">
        <v>547</v>
      </c>
      <c r="E292" s="11" t="s">
        <v>375</v>
      </c>
      <c r="F292" s="56">
        <f t="shared" si="7"/>
        <v>0</v>
      </c>
      <c r="G292" s="56"/>
      <c r="H292" s="56"/>
    </row>
    <row r="293" spans="1:8" ht="63" customHeight="1" hidden="1">
      <c r="A293" s="23" t="s">
        <v>670</v>
      </c>
      <c r="B293" s="11" t="s">
        <v>377</v>
      </c>
      <c r="C293" s="11" t="s">
        <v>151</v>
      </c>
      <c r="D293" s="11" t="s">
        <v>694</v>
      </c>
      <c r="E293" s="11" t="s">
        <v>375</v>
      </c>
      <c r="F293" s="56">
        <f t="shared" si="7"/>
        <v>0</v>
      </c>
      <c r="G293" s="56">
        <f>21-21</f>
        <v>0</v>
      </c>
      <c r="H293" s="56"/>
    </row>
    <row r="294" spans="1:8" ht="33" customHeight="1">
      <c r="A294" s="39" t="s">
        <v>152</v>
      </c>
      <c r="B294" s="24" t="s">
        <v>377</v>
      </c>
      <c r="C294" s="24" t="s">
        <v>151</v>
      </c>
      <c r="D294" s="24" t="s">
        <v>17</v>
      </c>
      <c r="E294" s="24" t="s">
        <v>398</v>
      </c>
      <c r="F294" s="57">
        <f t="shared" si="7"/>
        <v>120</v>
      </c>
      <c r="G294" s="57">
        <f>G295</f>
        <v>120</v>
      </c>
      <c r="H294" s="57"/>
    </row>
    <row r="295" spans="1:8" ht="33" customHeight="1">
      <c r="A295" s="44" t="s">
        <v>153</v>
      </c>
      <c r="B295" s="11" t="s">
        <v>377</v>
      </c>
      <c r="C295" s="11" t="s">
        <v>151</v>
      </c>
      <c r="D295" s="11" t="s">
        <v>18</v>
      </c>
      <c r="E295" s="11" t="s">
        <v>398</v>
      </c>
      <c r="F295" s="56">
        <f t="shared" si="7"/>
        <v>120</v>
      </c>
      <c r="G295" s="56">
        <f>G296</f>
        <v>120</v>
      </c>
      <c r="H295" s="56"/>
    </row>
    <row r="296" spans="1:8" ht="114.75" customHeight="1">
      <c r="A296" s="35" t="s">
        <v>548</v>
      </c>
      <c r="B296" s="51" t="s">
        <v>377</v>
      </c>
      <c r="C296" s="51" t="s">
        <v>151</v>
      </c>
      <c r="D296" s="51" t="s">
        <v>549</v>
      </c>
      <c r="E296" s="51" t="s">
        <v>398</v>
      </c>
      <c r="F296" s="98">
        <f t="shared" si="7"/>
        <v>120</v>
      </c>
      <c r="G296" s="98">
        <f>G297</f>
        <v>120</v>
      </c>
      <c r="H296" s="98"/>
    </row>
    <row r="297" spans="1:8" ht="36" customHeight="1">
      <c r="A297" s="23" t="s">
        <v>188</v>
      </c>
      <c r="B297" s="11" t="s">
        <v>377</v>
      </c>
      <c r="C297" s="11" t="s">
        <v>151</v>
      </c>
      <c r="D297" s="11" t="s">
        <v>549</v>
      </c>
      <c r="E297" s="11" t="s">
        <v>158</v>
      </c>
      <c r="F297" s="56">
        <f t="shared" si="7"/>
        <v>120</v>
      </c>
      <c r="G297" s="56">
        <f>G298</f>
        <v>120</v>
      </c>
      <c r="H297" s="56"/>
    </row>
    <row r="298" spans="1:8" ht="48" customHeight="1">
      <c r="A298" s="44" t="s">
        <v>189</v>
      </c>
      <c r="B298" s="11" t="s">
        <v>377</v>
      </c>
      <c r="C298" s="11" t="s">
        <v>151</v>
      </c>
      <c r="D298" s="11" t="s">
        <v>549</v>
      </c>
      <c r="E298" s="11" t="s">
        <v>190</v>
      </c>
      <c r="F298" s="56">
        <f t="shared" si="7"/>
        <v>120</v>
      </c>
      <c r="G298" s="56">
        <f>250-130</f>
        <v>120</v>
      </c>
      <c r="H298" s="56"/>
    </row>
    <row r="299" spans="1:8" s="125" customFormat="1" ht="79.5" customHeight="1" hidden="1">
      <c r="A299" s="39" t="s">
        <v>505</v>
      </c>
      <c r="B299" s="24" t="s">
        <v>377</v>
      </c>
      <c r="C299" s="24" t="s">
        <v>151</v>
      </c>
      <c r="D299" s="24" t="s">
        <v>503</v>
      </c>
      <c r="E299" s="24" t="s">
        <v>398</v>
      </c>
      <c r="F299" s="57">
        <f t="shared" si="7"/>
        <v>0</v>
      </c>
      <c r="G299" s="57">
        <f>G300</f>
        <v>0</v>
      </c>
      <c r="H299" s="57"/>
    </row>
    <row r="300" spans="1:8" ht="39" customHeight="1" hidden="1">
      <c r="A300" s="23" t="s">
        <v>188</v>
      </c>
      <c r="B300" s="11" t="s">
        <v>377</v>
      </c>
      <c r="C300" s="11" t="s">
        <v>151</v>
      </c>
      <c r="D300" s="11" t="s">
        <v>628</v>
      </c>
      <c r="E300" s="11" t="s">
        <v>158</v>
      </c>
      <c r="F300" s="56">
        <f>G300</f>
        <v>0</v>
      </c>
      <c r="G300" s="56">
        <f>G301</f>
        <v>0</v>
      </c>
      <c r="H300" s="56"/>
    </row>
    <row r="301" spans="1:8" ht="48" customHeight="1" hidden="1">
      <c r="A301" s="44" t="s">
        <v>189</v>
      </c>
      <c r="B301" s="11" t="s">
        <v>377</v>
      </c>
      <c r="C301" s="11" t="s">
        <v>151</v>
      </c>
      <c r="D301" s="11" t="s">
        <v>628</v>
      </c>
      <c r="E301" s="11" t="s">
        <v>190</v>
      </c>
      <c r="F301" s="56">
        <f>G301</f>
        <v>0</v>
      </c>
      <c r="G301" s="56">
        <v>0</v>
      </c>
      <c r="H301" s="56"/>
    </row>
    <row r="302" spans="1:8" s="125" customFormat="1" ht="17.25" customHeight="1">
      <c r="A302" s="39" t="s">
        <v>382</v>
      </c>
      <c r="B302" s="24" t="s">
        <v>377</v>
      </c>
      <c r="C302" s="24" t="s">
        <v>156</v>
      </c>
      <c r="D302" s="24" t="s">
        <v>311</v>
      </c>
      <c r="E302" s="24" t="s">
        <v>398</v>
      </c>
      <c r="F302" s="57">
        <f t="shared" si="7"/>
        <v>126</v>
      </c>
      <c r="G302" s="57">
        <f>G303+G306</f>
        <v>126</v>
      </c>
      <c r="H302" s="57">
        <f>H303+H306</f>
        <v>0</v>
      </c>
    </row>
    <row r="303" spans="1:8" ht="17.25" customHeight="1">
      <c r="A303" s="44" t="s">
        <v>383</v>
      </c>
      <c r="B303" s="11" t="s">
        <v>377</v>
      </c>
      <c r="C303" s="11" t="s">
        <v>156</v>
      </c>
      <c r="D303" s="11" t="s">
        <v>31</v>
      </c>
      <c r="E303" s="11" t="s">
        <v>398</v>
      </c>
      <c r="F303" s="56">
        <f t="shared" si="7"/>
        <v>90</v>
      </c>
      <c r="G303" s="56">
        <f>G304</f>
        <v>90</v>
      </c>
      <c r="H303" s="56">
        <f>H304</f>
        <v>0</v>
      </c>
    </row>
    <row r="304" spans="1:8" ht="34.5" customHeight="1">
      <c r="A304" s="23" t="s">
        <v>188</v>
      </c>
      <c r="B304" s="11" t="s">
        <v>377</v>
      </c>
      <c r="C304" s="11" t="s">
        <v>156</v>
      </c>
      <c r="D304" s="11" t="s">
        <v>31</v>
      </c>
      <c r="E304" s="11" t="s">
        <v>158</v>
      </c>
      <c r="F304" s="56">
        <f t="shared" si="7"/>
        <v>90</v>
      </c>
      <c r="G304" s="56">
        <f>G305</f>
        <v>90</v>
      </c>
      <c r="H304" s="56">
        <f>H305</f>
        <v>0</v>
      </c>
    </row>
    <row r="305" spans="1:8" ht="49.5" customHeight="1">
      <c r="A305" s="44" t="s">
        <v>189</v>
      </c>
      <c r="B305" s="11" t="s">
        <v>377</v>
      </c>
      <c r="C305" s="11" t="s">
        <v>156</v>
      </c>
      <c r="D305" s="11" t="s">
        <v>31</v>
      </c>
      <c r="E305" s="11" t="s">
        <v>190</v>
      </c>
      <c r="F305" s="56">
        <f t="shared" si="7"/>
        <v>90</v>
      </c>
      <c r="G305" s="99">
        <v>90</v>
      </c>
      <c r="H305" s="56"/>
    </row>
    <row r="306" spans="1:8" ht="17.25" customHeight="1">
      <c r="A306" s="44" t="s">
        <v>384</v>
      </c>
      <c r="B306" s="11" t="s">
        <v>377</v>
      </c>
      <c r="C306" s="11" t="s">
        <v>156</v>
      </c>
      <c r="D306" s="11" t="s">
        <v>32</v>
      </c>
      <c r="E306" s="11" t="s">
        <v>398</v>
      </c>
      <c r="F306" s="56">
        <f t="shared" si="7"/>
        <v>36</v>
      </c>
      <c r="G306" s="56">
        <f>G307+G309</f>
        <v>36</v>
      </c>
      <c r="H306" s="56">
        <f>H307</f>
        <v>0</v>
      </c>
    </row>
    <row r="307" spans="1:8" ht="37.5" customHeight="1">
      <c r="A307" s="23" t="s">
        <v>188</v>
      </c>
      <c r="B307" s="11" t="s">
        <v>377</v>
      </c>
      <c r="C307" s="11" t="s">
        <v>156</v>
      </c>
      <c r="D307" s="11" t="s">
        <v>32</v>
      </c>
      <c r="E307" s="11" t="s">
        <v>158</v>
      </c>
      <c r="F307" s="56">
        <f t="shared" si="7"/>
        <v>36</v>
      </c>
      <c r="G307" s="56">
        <f>G308</f>
        <v>36</v>
      </c>
      <c r="H307" s="56">
        <f>H308</f>
        <v>0</v>
      </c>
    </row>
    <row r="308" spans="1:8" ht="48" customHeight="1">
      <c r="A308" s="44" t="s">
        <v>189</v>
      </c>
      <c r="B308" s="11" t="s">
        <v>377</v>
      </c>
      <c r="C308" s="11" t="s">
        <v>156</v>
      </c>
      <c r="D308" s="11" t="s">
        <v>32</v>
      </c>
      <c r="E308" s="11" t="s">
        <v>190</v>
      </c>
      <c r="F308" s="56">
        <f t="shared" si="7"/>
        <v>36</v>
      </c>
      <c r="G308" s="99">
        <f>100-64</f>
        <v>36</v>
      </c>
      <c r="H308" s="56"/>
    </row>
    <row r="309" spans="1:8" ht="48" customHeight="1" hidden="1">
      <c r="A309" s="44" t="s">
        <v>571</v>
      </c>
      <c r="B309" s="11" t="s">
        <v>377</v>
      </c>
      <c r="C309" s="11" t="s">
        <v>156</v>
      </c>
      <c r="D309" s="11" t="s">
        <v>32</v>
      </c>
      <c r="E309" s="11" t="s">
        <v>572</v>
      </c>
      <c r="F309" s="56">
        <f>G309</f>
        <v>0</v>
      </c>
      <c r="G309" s="56">
        <f>G310</f>
        <v>0</v>
      </c>
      <c r="H309" s="56"/>
    </row>
    <row r="310" spans="1:8" ht="16.5" customHeight="1" hidden="1">
      <c r="A310" s="44" t="s">
        <v>573</v>
      </c>
      <c r="B310" s="11" t="s">
        <v>377</v>
      </c>
      <c r="C310" s="11" t="s">
        <v>156</v>
      </c>
      <c r="D310" s="11" t="s">
        <v>32</v>
      </c>
      <c r="E310" s="11" t="s">
        <v>574</v>
      </c>
      <c r="F310" s="56">
        <f>G310</f>
        <v>0</v>
      </c>
      <c r="G310" s="56">
        <v>0</v>
      </c>
      <c r="H310" s="56"/>
    </row>
    <row r="311" spans="1:8" ht="34.5" customHeight="1">
      <c r="A311" s="23" t="s">
        <v>355</v>
      </c>
      <c r="B311" s="11" t="s">
        <v>377</v>
      </c>
      <c r="C311" s="11" t="s">
        <v>377</v>
      </c>
      <c r="D311" s="11" t="s">
        <v>311</v>
      </c>
      <c r="E311" s="11" t="s">
        <v>398</v>
      </c>
      <c r="F311" s="56">
        <f t="shared" si="7"/>
        <v>4191.25615</v>
      </c>
      <c r="G311" s="56">
        <f>G312</f>
        <v>4189.972</v>
      </c>
      <c r="H311" s="56">
        <f>H312+H319</f>
        <v>1.28415</v>
      </c>
    </row>
    <row r="312" spans="1:8" ht="33.75" customHeight="1">
      <c r="A312" s="23" t="s">
        <v>152</v>
      </c>
      <c r="B312" s="11" t="s">
        <v>377</v>
      </c>
      <c r="C312" s="11" t="s">
        <v>377</v>
      </c>
      <c r="D312" s="11" t="s">
        <v>18</v>
      </c>
      <c r="E312" s="11" t="s">
        <v>398</v>
      </c>
      <c r="F312" s="56">
        <f t="shared" si="7"/>
        <v>4189.972</v>
      </c>
      <c r="G312" s="56">
        <f>G313</f>
        <v>4189.972</v>
      </c>
      <c r="H312" s="56">
        <f>H313</f>
        <v>0</v>
      </c>
    </row>
    <row r="313" spans="1:8" s="125" customFormat="1" ht="48" customHeight="1">
      <c r="A313" s="27" t="s">
        <v>153</v>
      </c>
      <c r="B313" s="24" t="s">
        <v>377</v>
      </c>
      <c r="C313" s="24" t="s">
        <v>377</v>
      </c>
      <c r="D313" s="24" t="s">
        <v>21</v>
      </c>
      <c r="E313" s="24" t="s">
        <v>398</v>
      </c>
      <c r="F313" s="57">
        <f t="shared" si="7"/>
        <v>4189.972</v>
      </c>
      <c r="G313" s="57">
        <f>G314</f>
        <v>4189.972</v>
      </c>
      <c r="H313" s="57">
        <f>H314</f>
        <v>0</v>
      </c>
    </row>
    <row r="314" spans="1:8" ht="48" customHeight="1">
      <c r="A314" s="23" t="s">
        <v>378</v>
      </c>
      <c r="B314" s="11" t="s">
        <v>377</v>
      </c>
      <c r="C314" s="11" t="s">
        <v>377</v>
      </c>
      <c r="D314" s="11" t="s">
        <v>21</v>
      </c>
      <c r="E314" s="11" t="s">
        <v>398</v>
      </c>
      <c r="F314" s="56">
        <f t="shared" si="7"/>
        <v>4189.972</v>
      </c>
      <c r="G314" s="56">
        <f>G315+G317</f>
        <v>4189.972</v>
      </c>
      <c r="H314" s="56">
        <f>SUM(H315:H318)</f>
        <v>0</v>
      </c>
    </row>
    <row r="315" spans="1:8" ht="96.75" customHeight="1">
      <c r="A315" s="23" t="s">
        <v>185</v>
      </c>
      <c r="B315" s="11" t="s">
        <v>377</v>
      </c>
      <c r="C315" s="11" t="s">
        <v>377</v>
      </c>
      <c r="D315" s="11" t="s">
        <v>21</v>
      </c>
      <c r="E315" s="11" t="s">
        <v>154</v>
      </c>
      <c r="F315" s="56">
        <f t="shared" si="7"/>
        <v>3983.9</v>
      </c>
      <c r="G315" s="56">
        <f>G316</f>
        <v>3983.9</v>
      </c>
      <c r="H315" s="56"/>
    </row>
    <row r="316" spans="1:8" ht="34.5" customHeight="1">
      <c r="A316" s="44" t="s">
        <v>187</v>
      </c>
      <c r="B316" s="11" t="s">
        <v>377</v>
      </c>
      <c r="C316" s="11" t="s">
        <v>377</v>
      </c>
      <c r="D316" s="11" t="s">
        <v>21</v>
      </c>
      <c r="E316" s="11" t="s">
        <v>186</v>
      </c>
      <c r="F316" s="56">
        <f t="shared" si="7"/>
        <v>3983.9</v>
      </c>
      <c r="G316" s="56">
        <f>2862+45+864.3+86+26-3.4+80+24</f>
        <v>3983.9</v>
      </c>
      <c r="H316" s="56"/>
    </row>
    <row r="317" spans="1:8" ht="32.25" customHeight="1">
      <c r="A317" s="23" t="s">
        <v>188</v>
      </c>
      <c r="B317" s="11" t="s">
        <v>377</v>
      </c>
      <c r="C317" s="11" t="s">
        <v>377</v>
      </c>
      <c r="D317" s="11" t="s">
        <v>21</v>
      </c>
      <c r="E317" s="11" t="s">
        <v>158</v>
      </c>
      <c r="F317" s="56">
        <f t="shared" si="7"/>
        <v>206.072</v>
      </c>
      <c r="G317" s="56">
        <f>G318</f>
        <v>206.072</v>
      </c>
      <c r="H317" s="56"/>
    </row>
    <row r="318" spans="1:8" ht="50.25" customHeight="1">
      <c r="A318" s="44" t="s">
        <v>189</v>
      </c>
      <c r="B318" s="11" t="s">
        <v>377</v>
      </c>
      <c r="C318" s="11" t="s">
        <v>377</v>
      </c>
      <c r="D318" s="11" t="s">
        <v>21</v>
      </c>
      <c r="E318" s="11" t="s">
        <v>190</v>
      </c>
      <c r="F318" s="56">
        <f t="shared" si="7"/>
        <v>206.072</v>
      </c>
      <c r="G318" s="56">
        <v>206.072</v>
      </c>
      <c r="H318" s="56"/>
    </row>
    <row r="319" spans="1:8" s="125" customFormat="1" ht="78" customHeight="1">
      <c r="A319" s="39" t="s">
        <v>691</v>
      </c>
      <c r="B319" s="24" t="s">
        <v>377</v>
      </c>
      <c r="C319" s="24" t="s">
        <v>377</v>
      </c>
      <c r="D319" s="24" t="s">
        <v>33</v>
      </c>
      <c r="E319" s="24" t="s">
        <v>398</v>
      </c>
      <c r="F319" s="57">
        <f t="shared" si="7"/>
        <v>1.28415</v>
      </c>
      <c r="G319" s="57"/>
      <c r="H319" s="57">
        <f>H320+H322</f>
        <v>1.28415</v>
      </c>
    </row>
    <row r="320" spans="1:8" ht="94.5" customHeight="1">
      <c r="A320" s="44" t="s">
        <v>353</v>
      </c>
      <c r="B320" s="11" t="s">
        <v>377</v>
      </c>
      <c r="C320" s="11" t="s">
        <v>377</v>
      </c>
      <c r="D320" s="11" t="s">
        <v>33</v>
      </c>
      <c r="E320" s="11" t="s">
        <v>154</v>
      </c>
      <c r="F320" s="56">
        <f t="shared" si="7"/>
        <v>1.28415</v>
      </c>
      <c r="G320" s="56"/>
      <c r="H320" s="56">
        <f>H321</f>
        <v>1.28415</v>
      </c>
    </row>
    <row r="321" spans="1:8" ht="34.5" customHeight="1">
      <c r="A321" s="44" t="s">
        <v>187</v>
      </c>
      <c r="B321" s="11" t="s">
        <v>377</v>
      </c>
      <c r="C321" s="11" t="s">
        <v>377</v>
      </c>
      <c r="D321" s="11" t="s">
        <v>33</v>
      </c>
      <c r="E321" s="11" t="s">
        <v>186</v>
      </c>
      <c r="F321" s="56">
        <f t="shared" si="7"/>
        <v>1.28415</v>
      </c>
      <c r="G321" s="56"/>
      <c r="H321" s="99">
        <v>1.28415</v>
      </c>
    </row>
    <row r="322" spans="1:8" ht="34.5" customHeight="1" hidden="1">
      <c r="A322" s="44" t="s">
        <v>188</v>
      </c>
      <c r="B322" s="11" t="s">
        <v>377</v>
      </c>
      <c r="C322" s="11" t="s">
        <v>377</v>
      </c>
      <c r="D322" s="11" t="s">
        <v>33</v>
      </c>
      <c r="E322" s="11" t="s">
        <v>158</v>
      </c>
      <c r="F322" s="56">
        <f t="shared" si="7"/>
        <v>0</v>
      </c>
      <c r="G322" s="56"/>
      <c r="H322" s="56">
        <f>H323</f>
        <v>0</v>
      </c>
    </row>
    <row r="323" spans="1:8" ht="51" customHeight="1" hidden="1">
      <c r="A323" s="44" t="s">
        <v>189</v>
      </c>
      <c r="B323" s="11" t="s">
        <v>377</v>
      </c>
      <c r="C323" s="11" t="s">
        <v>377</v>
      </c>
      <c r="D323" s="11" t="s">
        <v>33</v>
      </c>
      <c r="E323" s="11" t="s">
        <v>190</v>
      </c>
      <c r="F323" s="56">
        <f t="shared" si="7"/>
        <v>0</v>
      </c>
      <c r="G323" s="56"/>
      <c r="H323" s="56">
        <v>0</v>
      </c>
    </row>
    <row r="324" spans="1:10" s="143" customFormat="1" ht="20.25" customHeight="1">
      <c r="A324" s="54" t="s">
        <v>379</v>
      </c>
      <c r="B324" s="16" t="s">
        <v>380</v>
      </c>
      <c r="C324" s="16" t="s">
        <v>150</v>
      </c>
      <c r="D324" s="16" t="s">
        <v>311</v>
      </c>
      <c r="E324" s="16" t="s">
        <v>398</v>
      </c>
      <c r="F324" s="101">
        <f>G324+H324</f>
        <v>525525.43545</v>
      </c>
      <c r="G324" s="101">
        <f>G325+G353+G390+G406+G439+G462+G444</f>
        <v>257516.45945999998</v>
      </c>
      <c r="H324" s="101">
        <f>H325+H353+H439+H462+H444+H406</f>
        <v>268008.97599</v>
      </c>
      <c r="J324" s="157"/>
    </row>
    <row r="325" spans="1:10" ht="18.75" customHeight="1">
      <c r="A325" s="23" t="s">
        <v>389</v>
      </c>
      <c r="B325" s="11" t="s">
        <v>380</v>
      </c>
      <c r="C325" s="11" t="s">
        <v>149</v>
      </c>
      <c r="D325" s="11" t="s">
        <v>311</v>
      </c>
      <c r="E325" s="11" t="s">
        <v>398</v>
      </c>
      <c r="F325" s="56">
        <f t="shared" si="7"/>
        <v>85898.744</v>
      </c>
      <c r="G325" s="56">
        <f>G326+G335+G344+G348</f>
        <v>42482.393000000004</v>
      </c>
      <c r="H325" s="56">
        <f>H341</f>
        <v>43416.351</v>
      </c>
      <c r="J325" s="126"/>
    </row>
    <row r="326" spans="1:8" s="125" customFormat="1" ht="49.5" customHeight="1">
      <c r="A326" s="27" t="s">
        <v>452</v>
      </c>
      <c r="B326" s="24" t="s">
        <v>380</v>
      </c>
      <c r="C326" s="24" t="s">
        <v>149</v>
      </c>
      <c r="D326" s="24" t="s">
        <v>35</v>
      </c>
      <c r="E326" s="24" t="s">
        <v>398</v>
      </c>
      <c r="F326" s="57">
        <f t="shared" si="7"/>
        <v>42482.393000000004</v>
      </c>
      <c r="G326" s="57">
        <f>G327</f>
        <v>42482.393000000004</v>
      </c>
      <c r="H326" s="57">
        <f>H327</f>
        <v>0</v>
      </c>
    </row>
    <row r="327" spans="1:8" ht="48" customHeight="1">
      <c r="A327" s="28" t="s">
        <v>250</v>
      </c>
      <c r="B327" s="11" t="s">
        <v>380</v>
      </c>
      <c r="C327" s="11" t="s">
        <v>149</v>
      </c>
      <c r="D327" s="11" t="s">
        <v>48</v>
      </c>
      <c r="E327" s="11" t="s">
        <v>398</v>
      </c>
      <c r="F327" s="56">
        <f t="shared" si="7"/>
        <v>42482.393000000004</v>
      </c>
      <c r="G327" s="56">
        <f>G328+G330+G333</f>
        <v>42482.393000000004</v>
      </c>
      <c r="H327" s="56">
        <f>SUM(H329:H332)</f>
        <v>0</v>
      </c>
    </row>
    <row r="328" spans="1:8" ht="50.25" customHeight="1">
      <c r="A328" s="23" t="s">
        <v>211</v>
      </c>
      <c r="B328" s="11" t="s">
        <v>380</v>
      </c>
      <c r="C328" s="11" t="s">
        <v>149</v>
      </c>
      <c r="D328" s="11" t="s">
        <v>50</v>
      </c>
      <c r="E328" s="11" t="s">
        <v>212</v>
      </c>
      <c r="F328" s="56">
        <f t="shared" si="7"/>
        <v>380</v>
      </c>
      <c r="G328" s="56">
        <f>G329</f>
        <v>380</v>
      </c>
      <c r="H328" s="56">
        <f>H329</f>
        <v>0</v>
      </c>
    </row>
    <row r="329" spans="1:8" ht="19.5" customHeight="1">
      <c r="A329" s="23" t="s">
        <v>213</v>
      </c>
      <c r="B329" s="11" t="s">
        <v>380</v>
      </c>
      <c r="C329" s="11" t="s">
        <v>149</v>
      </c>
      <c r="D329" s="11" t="s">
        <v>49</v>
      </c>
      <c r="E329" s="11" t="s">
        <v>279</v>
      </c>
      <c r="F329" s="56">
        <f t="shared" si="7"/>
        <v>380</v>
      </c>
      <c r="G329" s="56">
        <f>340+40</f>
        <v>380</v>
      </c>
      <c r="H329" s="56"/>
    </row>
    <row r="330" spans="1:8" ht="96" customHeight="1">
      <c r="A330" s="23" t="s">
        <v>817</v>
      </c>
      <c r="B330" s="11" t="s">
        <v>380</v>
      </c>
      <c r="C330" s="11" t="s">
        <v>149</v>
      </c>
      <c r="D330" s="11" t="s">
        <v>50</v>
      </c>
      <c r="E330" s="11" t="s">
        <v>398</v>
      </c>
      <c r="F330" s="56">
        <f t="shared" si="7"/>
        <v>41939.393000000004</v>
      </c>
      <c r="G330" s="56">
        <f>G331</f>
        <v>41939.393000000004</v>
      </c>
      <c r="H330" s="56">
        <f>SUM(H331:H332)</f>
        <v>0</v>
      </c>
    </row>
    <row r="331" spans="1:8" ht="48" customHeight="1">
      <c r="A331" s="23" t="s">
        <v>211</v>
      </c>
      <c r="B331" s="11" t="s">
        <v>380</v>
      </c>
      <c r="C331" s="11" t="s">
        <v>149</v>
      </c>
      <c r="D331" s="11" t="s">
        <v>51</v>
      </c>
      <c r="E331" s="11" t="s">
        <v>212</v>
      </c>
      <c r="F331" s="56">
        <f t="shared" si="7"/>
        <v>41939.393000000004</v>
      </c>
      <c r="G331" s="56">
        <f>G332</f>
        <v>41939.393000000004</v>
      </c>
      <c r="H331" s="56"/>
    </row>
    <row r="332" spans="1:10" ht="15.75" customHeight="1">
      <c r="A332" s="23" t="s">
        <v>213</v>
      </c>
      <c r="B332" s="11" t="s">
        <v>380</v>
      </c>
      <c r="C332" s="11" t="s">
        <v>149</v>
      </c>
      <c r="D332" s="11" t="s">
        <v>51</v>
      </c>
      <c r="E332" s="11" t="s">
        <v>279</v>
      </c>
      <c r="F332" s="56">
        <f t="shared" si="7"/>
        <v>41939.393000000004</v>
      </c>
      <c r="G332" s="56">
        <f>32552.606+1610.705+450+1262.082+769+2033+1200+115+365+1528+54</f>
        <v>41939.393000000004</v>
      </c>
      <c r="H332" s="56"/>
      <c r="J332" s="130"/>
    </row>
    <row r="333" spans="1:10" ht="52.5" customHeight="1">
      <c r="A333" s="23" t="s">
        <v>211</v>
      </c>
      <c r="B333" s="11" t="s">
        <v>380</v>
      </c>
      <c r="C333" s="11" t="s">
        <v>149</v>
      </c>
      <c r="D333" s="11" t="s">
        <v>767</v>
      </c>
      <c r="E333" s="11" t="s">
        <v>212</v>
      </c>
      <c r="F333" s="56">
        <f>G333+H333</f>
        <v>163</v>
      </c>
      <c r="G333" s="56">
        <f>G334</f>
        <v>163</v>
      </c>
      <c r="H333" s="56">
        <f>H334</f>
        <v>0</v>
      </c>
      <c r="J333" s="130"/>
    </row>
    <row r="334" spans="1:10" ht="30.75" customHeight="1">
      <c r="A334" s="23" t="s">
        <v>769</v>
      </c>
      <c r="B334" s="11" t="s">
        <v>380</v>
      </c>
      <c r="C334" s="11" t="s">
        <v>149</v>
      </c>
      <c r="D334" s="11" t="s">
        <v>767</v>
      </c>
      <c r="E334" s="11" t="s">
        <v>279</v>
      </c>
      <c r="F334" s="56">
        <f>G334+H334</f>
        <v>163</v>
      </c>
      <c r="G334" s="56">
        <v>163</v>
      </c>
      <c r="H334" s="56"/>
      <c r="J334" s="130"/>
    </row>
    <row r="335" spans="1:8" ht="35.25" customHeight="1" hidden="1">
      <c r="A335" s="35" t="s">
        <v>550</v>
      </c>
      <c r="B335" s="51" t="s">
        <v>380</v>
      </c>
      <c r="C335" s="51" t="s">
        <v>149</v>
      </c>
      <c r="D335" s="51" t="s">
        <v>311</v>
      </c>
      <c r="E335" s="51" t="s">
        <v>398</v>
      </c>
      <c r="F335" s="98">
        <f>G335</f>
        <v>0</v>
      </c>
      <c r="G335" s="98">
        <f>G336</f>
        <v>0</v>
      </c>
      <c r="H335" s="98"/>
    </row>
    <row r="336" spans="1:8" ht="30" customHeight="1" hidden="1">
      <c r="A336" s="23" t="s">
        <v>551</v>
      </c>
      <c r="B336" s="11" t="s">
        <v>380</v>
      </c>
      <c r="C336" s="11" t="s">
        <v>149</v>
      </c>
      <c r="D336" s="11" t="s">
        <v>552</v>
      </c>
      <c r="E336" s="11" t="s">
        <v>398</v>
      </c>
      <c r="F336" s="56">
        <f>G336</f>
        <v>0</v>
      </c>
      <c r="G336" s="56">
        <f>G337</f>
        <v>0</v>
      </c>
      <c r="H336" s="56"/>
    </row>
    <row r="337" spans="1:8" ht="51" customHeight="1" hidden="1">
      <c r="A337" s="23" t="s">
        <v>211</v>
      </c>
      <c r="B337" s="11" t="s">
        <v>380</v>
      </c>
      <c r="C337" s="11" t="s">
        <v>149</v>
      </c>
      <c r="D337" s="11" t="s">
        <v>552</v>
      </c>
      <c r="E337" s="11" t="s">
        <v>212</v>
      </c>
      <c r="F337" s="56">
        <f>G337</f>
        <v>0</v>
      </c>
      <c r="G337" s="56">
        <f>G338</f>
        <v>0</v>
      </c>
      <c r="H337" s="56"/>
    </row>
    <row r="338" spans="1:8" ht="22.5" customHeight="1" hidden="1">
      <c r="A338" s="23" t="s">
        <v>213</v>
      </c>
      <c r="B338" s="11" t="s">
        <v>380</v>
      </c>
      <c r="C338" s="11" t="s">
        <v>149</v>
      </c>
      <c r="D338" s="11" t="s">
        <v>552</v>
      </c>
      <c r="E338" s="11" t="s">
        <v>279</v>
      </c>
      <c r="F338" s="56">
        <f>G338</f>
        <v>0</v>
      </c>
      <c r="G338" s="56"/>
      <c r="H338" s="56"/>
    </row>
    <row r="339" spans="1:8" ht="46.5" customHeight="1">
      <c r="A339" s="27" t="s">
        <v>452</v>
      </c>
      <c r="B339" s="24" t="s">
        <v>380</v>
      </c>
      <c r="C339" s="24" t="s">
        <v>149</v>
      </c>
      <c r="D339" s="24" t="s">
        <v>35</v>
      </c>
      <c r="E339" s="24" t="s">
        <v>398</v>
      </c>
      <c r="F339" s="57">
        <f>G339+H339</f>
        <v>43416.351</v>
      </c>
      <c r="G339" s="57">
        <v>0</v>
      </c>
      <c r="H339" s="57">
        <f>H340</f>
        <v>43416.351</v>
      </c>
    </row>
    <row r="340" spans="1:8" ht="54.75" customHeight="1">
      <c r="A340" s="28" t="s">
        <v>250</v>
      </c>
      <c r="B340" s="11" t="s">
        <v>380</v>
      </c>
      <c r="C340" s="11" t="s">
        <v>149</v>
      </c>
      <c r="D340" s="11" t="s">
        <v>48</v>
      </c>
      <c r="E340" s="11" t="s">
        <v>398</v>
      </c>
      <c r="F340" s="56">
        <f>G340+H340</f>
        <v>43416.351</v>
      </c>
      <c r="G340" s="56">
        <v>0</v>
      </c>
      <c r="H340" s="56">
        <f>H341</f>
        <v>43416.351</v>
      </c>
    </row>
    <row r="341" spans="1:8" s="125" customFormat="1" ht="81" customHeight="1">
      <c r="A341" s="27" t="s">
        <v>385</v>
      </c>
      <c r="B341" s="24" t="s">
        <v>380</v>
      </c>
      <c r="C341" s="147" t="s">
        <v>149</v>
      </c>
      <c r="D341" s="24" t="s">
        <v>52</v>
      </c>
      <c r="E341" s="24" t="s">
        <v>398</v>
      </c>
      <c r="F341" s="57">
        <f t="shared" si="7"/>
        <v>43416.351</v>
      </c>
      <c r="G341" s="57">
        <f>G342</f>
        <v>0</v>
      </c>
      <c r="H341" s="57">
        <f>H342</f>
        <v>43416.351</v>
      </c>
    </row>
    <row r="342" spans="1:8" ht="51" customHeight="1">
      <c r="A342" s="23" t="s">
        <v>211</v>
      </c>
      <c r="B342" s="11" t="s">
        <v>380</v>
      </c>
      <c r="C342" s="11" t="s">
        <v>149</v>
      </c>
      <c r="D342" s="11" t="s">
        <v>52</v>
      </c>
      <c r="E342" s="11" t="s">
        <v>212</v>
      </c>
      <c r="F342" s="56">
        <f t="shared" si="7"/>
        <v>43416.351</v>
      </c>
      <c r="G342" s="56">
        <v>0</v>
      </c>
      <c r="H342" s="56">
        <f>H343</f>
        <v>43416.351</v>
      </c>
    </row>
    <row r="343" spans="1:8" ht="18.75" customHeight="1">
      <c r="A343" s="23" t="s">
        <v>213</v>
      </c>
      <c r="B343" s="11" t="s">
        <v>380</v>
      </c>
      <c r="C343" s="11" t="s">
        <v>149</v>
      </c>
      <c r="D343" s="11" t="s">
        <v>52</v>
      </c>
      <c r="E343" s="11" t="s">
        <v>279</v>
      </c>
      <c r="F343" s="56">
        <f>G343+H343</f>
        <v>43416.351</v>
      </c>
      <c r="G343" s="56">
        <v>0</v>
      </c>
      <c r="H343" s="56">
        <f>41476.941+1939.41</f>
        <v>43416.351</v>
      </c>
    </row>
    <row r="344" spans="1:8" ht="53.25" customHeight="1" hidden="1">
      <c r="A344" s="23" t="s">
        <v>762</v>
      </c>
      <c r="B344" s="11" t="s">
        <v>380</v>
      </c>
      <c r="C344" s="11" t="s">
        <v>149</v>
      </c>
      <c r="D344" s="11" t="s">
        <v>18</v>
      </c>
      <c r="E344" s="11" t="s">
        <v>398</v>
      </c>
      <c r="F344" s="56">
        <f>G344+H344</f>
        <v>0</v>
      </c>
      <c r="G344" s="56">
        <f>G345</f>
        <v>0</v>
      </c>
      <c r="H344" s="56">
        <f>H345</f>
        <v>0</v>
      </c>
    </row>
    <row r="345" spans="1:8" ht="61.5" customHeight="1" hidden="1">
      <c r="A345" s="23" t="s">
        <v>761</v>
      </c>
      <c r="B345" s="11" t="s">
        <v>380</v>
      </c>
      <c r="C345" s="11" t="s">
        <v>149</v>
      </c>
      <c r="D345" s="11" t="s">
        <v>18</v>
      </c>
      <c r="E345" s="11" t="s">
        <v>212</v>
      </c>
      <c r="F345" s="56">
        <f>F347</f>
        <v>0</v>
      </c>
      <c r="G345" s="56">
        <f>G347</f>
        <v>0</v>
      </c>
      <c r="H345" s="56">
        <f>H347</f>
        <v>0</v>
      </c>
    </row>
    <row r="346" spans="1:8" ht="27.75" customHeight="1" hidden="1">
      <c r="A346" s="23" t="s">
        <v>211</v>
      </c>
      <c r="B346" s="11" t="s">
        <v>380</v>
      </c>
      <c r="C346" s="11" t="s">
        <v>149</v>
      </c>
      <c r="D346" s="11" t="s">
        <v>18</v>
      </c>
      <c r="E346" s="11" t="s">
        <v>212</v>
      </c>
      <c r="F346" s="56"/>
      <c r="G346" s="56"/>
      <c r="H346" s="56"/>
    </row>
    <row r="347" spans="1:8" ht="18.75" customHeight="1" hidden="1">
      <c r="A347" s="23" t="s">
        <v>213</v>
      </c>
      <c r="B347" s="11" t="s">
        <v>380</v>
      </c>
      <c r="C347" s="11" t="s">
        <v>149</v>
      </c>
      <c r="D347" s="11" t="s">
        <v>18</v>
      </c>
      <c r="E347" s="11" t="s">
        <v>279</v>
      </c>
      <c r="F347" s="56">
        <f>G347+H347</f>
        <v>0</v>
      </c>
      <c r="G347" s="56"/>
      <c r="H347" s="56">
        <v>0</v>
      </c>
    </row>
    <row r="348" spans="1:8" ht="36.75" customHeight="1" hidden="1">
      <c r="A348" s="23" t="s">
        <v>152</v>
      </c>
      <c r="B348" s="11" t="s">
        <v>380</v>
      </c>
      <c r="C348" s="11" t="s">
        <v>149</v>
      </c>
      <c r="D348" s="11" t="s">
        <v>17</v>
      </c>
      <c r="E348" s="11" t="s">
        <v>398</v>
      </c>
      <c r="F348" s="56">
        <f>G348</f>
        <v>0</v>
      </c>
      <c r="G348" s="56">
        <f>G349</f>
        <v>0</v>
      </c>
      <c r="H348" s="56"/>
    </row>
    <row r="349" spans="1:8" ht="30.75" customHeight="1" hidden="1">
      <c r="A349" s="23" t="s">
        <v>153</v>
      </c>
      <c r="B349" s="11" t="s">
        <v>380</v>
      </c>
      <c r="C349" s="11" t="s">
        <v>149</v>
      </c>
      <c r="D349" s="11" t="s">
        <v>18</v>
      </c>
      <c r="E349" s="11" t="s">
        <v>398</v>
      </c>
      <c r="F349" s="56">
        <f>G349</f>
        <v>0</v>
      </c>
      <c r="G349" s="56">
        <f>G350</f>
        <v>0</v>
      </c>
      <c r="H349" s="56"/>
    </row>
    <row r="350" spans="1:8" ht="36.75" customHeight="1" hidden="1">
      <c r="A350" s="112" t="s">
        <v>607</v>
      </c>
      <c r="B350" s="11" t="s">
        <v>380</v>
      </c>
      <c r="C350" s="11" t="s">
        <v>149</v>
      </c>
      <c r="D350" s="11" t="s">
        <v>552</v>
      </c>
      <c r="E350" s="11" t="s">
        <v>398</v>
      </c>
      <c r="F350" s="56">
        <f>G350+H350</f>
        <v>0</v>
      </c>
      <c r="G350" s="111">
        <f>G351</f>
        <v>0</v>
      </c>
      <c r="H350" s="56"/>
    </row>
    <row r="351" spans="1:8" ht="30" customHeight="1" hidden="1">
      <c r="A351" s="23" t="s">
        <v>211</v>
      </c>
      <c r="B351" s="11" t="s">
        <v>380</v>
      </c>
      <c r="C351" s="11" t="s">
        <v>149</v>
      </c>
      <c r="D351" s="11" t="s">
        <v>552</v>
      </c>
      <c r="E351" s="11" t="s">
        <v>212</v>
      </c>
      <c r="F351" s="56">
        <f>G351+H351</f>
        <v>0</v>
      </c>
      <c r="G351" s="111">
        <f>G352</f>
        <v>0</v>
      </c>
      <c r="H351" s="56"/>
    </row>
    <row r="352" spans="1:8" ht="18.75" customHeight="1" hidden="1">
      <c r="A352" s="23" t="s">
        <v>213</v>
      </c>
      <c r="B352" s="11" t="s">
        <v>380</v>
      </c>
      <c r="C352" s="11" t="s">
        <v>149</v>
      </c>
      <c r="D352" s="11" t="s">
        <v>552</v>
      </c>
      <c r="E352" s="11" t="s">
        <v>279</v>
      </c>
      <c r="F352" s="56">
        <f>G352+H352</f>
        <v>0</v>
      </c>
      <c r="G352" s="111">
        <v>0</v>
      </c>
      <c r="H352" s="56"/>
    </row>
    <row r="353" spans="1:8" ht="17.25" customHeight="1">
      <c r="A353" s="23" t="s">
        <v>430</v>
      </c>
      <c r="B353" s="11" t="s">
        <v>380</v>
      </c>
      <c r="C353" s="11" t="s">
        <v>151</v>
      </c>
      <c r="D353" s="11" t="s">
        <v>311</v>
      </c>
      <c r="E353" s="11" t="s">
        <v>398</v>
      </c>
      <c r="F353" s="56">
        <f>G353+H353</f>
        <v>339672.73589</v>
      </c>
      <c r="G353" s="56">
        <f>G354+G403</f>
        <v>118644.4512</v>
      </c>
      <c r="H353" s="56">
        <f>H354+H390+H400</f>
        <v>221028.28469</v>
      </c>
    </row>
    <row r="354" spans="1:8" s="125" customFormat="1" ht="48" customHeight="1">
      <c r="A354" s="27" t="s">
        <v>452</v>
      </c>
      <c r="B354" s="24" t="s">
        <v>380</v>
      </c>
      <c r="C354" s="24" t="s">
        <v>151</v>
      </c>
      <c r="D354" s="24" t="s">
        <v>35</v>
      </c>
      <c r="E354" s="24" t="s">
        <v>398</v>
      </c>
      <c r="F354" s="57">
        <f t="shared" si="7"/>
        <v>128036.30389</v>
      </c>
      <c r="G354" s="57">
        <f>G355+G374+G381</f>
        <v>118644.4512</v>
      </c>
      <c r="H354" s="57">
        <f>H355+H359+H374+H378+H381</f>
        <v>9391.852689999998</v>
      </c>
    </row>
    <row r="355" spans="1:8" ht="41.25" customHeight="1">
      <c r="A355" s="28" t="s">
        <v>456</v>
      </c>
      <c r="B355" s="11" t="s">
        <v>380</v>
      </c>
      <c r="C355" s="11" t="s">
        <v>151</v>
      </c>
      <c r="D355" s="11" t="s">
        <v>53</v>
      </c>
      <c r="E355" s="11" t="s">
        <v>398</v>
      </c>
      <c r="F355" s="56">
        <f t="shared" si="7"/>
        <v>126151.80389</v>
      </c>
      <c r="G355" s="56">
        <f>G356+G359+G371+G362+G365+G368</f>
        <v>116759.9512</v>
      </c>
      <c r="H355" s="56">
        <f>H356+H359+H371+H362+H365+H368</f>
        <v>9391.852689999998</v>
      </c>
    </row>
    <row r="356" spans="1:8" ht="34.5" customHeight="1">
      <c r="A356" s="23" t="s">
        <v>246</v>
      </c>
      <c r="B356" s="11" t="s">
        <v>380</v>
      </c>
      <c r="C356" s="11" t="s">
        <v>151</v>
      </c>
      <c r="D356" s="11" t="s">
        <v>54</v>
      </c>
      <c r="E356" s="11" t="s">
        <v>398</v>
      </c>
      <c r="F356" s="56">
        <f t="shared" si="7"/>
        <v>1425.044</v>
      </c>
      <c r="G356" s="56">
        <f>G357</f>
        <v>1425.044</v>
      </c>
      <c r="H356" s="56">
        <f>H358</f>
        <v>0</v>
      </c>
    </row>
    <row r="357" spans="1:8" ht="50.25" customHeight="1">
      <c r="A357" s="23" t="s">
        <v>211</v>
      </c>
      <c r="B357" s="11" t="s">
        <v>380</v>
      </c>
      <c r="C357" s="11" t="s">
        <v>151</v>
      </c>
      <c r="D357" s="11" t="s">
        <v>55</v>
      </c>
      <c r="E357" s="11" t="s">
        <v>212</v>
      </c>
      <c r="F357" s="56">
        <f t="shared" si="7"/>
        <v>1425.044</v>
      </c>
      <c r="G357" s="56">
        <f>G358</f>
        <v>1425.044</v>
      </c>
      <c r="H357" s="56"/>
    </row>
    <row r="358" spans="1:8" ht="19.5" customHeight="1">
      <c r="A358" s="23" t="s">
        <v>213</v>
      </c>
      <c r="B358" s="11" t="s">
        <v>380</v>
      </c>
      <c r="C358" s="11" t="s">
        <v>151</v>
      </c>
      <c r="D358" s="11" t="s">
        <v>55</v>
      </c>
      <c r="E358" s="11" t="s">
        <v>279</v>
      </c>
      <c r="F358" s="56">
        <f t="shared" si="7"/>
        <v>1425.044</v>
      </c>
      <c r="G358" s="56">
        <f>750+370+60+110+40+95.044</f>
        <v>1425.044</v>
      </c>
      <c r="H358" s="56"/>
    </row>
    <row r="359" spans="1:8" ht="95.25" customHeight="1">
      <c r="A359" s="23" t="s">
        <v>816</v>
      </c>
      <c r="B359" s="11" t="s">
        <v>380</v>
      </c>
      <c r="C359" s="11" t="s">
        <v>151</v>
      </c>
      <c r="D359" s="11" t="s">
        <v>54</v>
      </c>
      <c r="E359" s="11" t="s">
        <v>398</v>
      </c>
      <c r="F359" s="56">
        <f t="shared" si="7"/>
        <v>114783.03999</v>
      </c>
      <c r="G359" s="56">
        <f>G360</f>
        <v>114783.03999</v>
      </c>
      <c r="H359" s="56">
        <f>SUM(H360:H361)</f>
        <v>0</v>
      </c>
    </row>
    <row r="360" spans="1:8" ht="49.5" customHeight="1">
      <c r="A360" s="23" t="s">
        <v>211</v>
      </c>
      <c r="B360" s="11" t="s">
        <v>380</v>
      </c>
      <c r="C360" s="11" t="s">
        <v>151</v>
      </c>
      <c r="D360" s="11" t="s">
        <v>56</v>
      </c>
      <c r="E360" s="11" t="s">
        <v>212</v>
      </c>
      <c r="F360" s="56">
        <f t="shared" si="7"/>
        <v>114783.03999</v>
      </c>
      <c r="G360" s="56">
        <f>G361</f>
        <v>114783.03999</v>
      </c>
      <c r="H360" s="56"/>
    </row>
    <row r="361" spans="1:8" ht="19.5" customHeight="1">
      <c r="A361" s="23" t="s">
        <v>213</v>
      </c>
      <c r="B361" s="11" t="s">
        <v>380</v>
      </c>
      <c r="C361" s="11" t="s">
        <v>151</v>
      </c>
      <c r="D361" s="11" t="s">
        <v>56</v>
      </c>
      <c r="E361" s="11" t="s">
        <v>279</v>
      </c>
      <c r="F361" s="56">
        <f t="shared" si="7"/>
        <v>114783.03999</v>
      </c>
      <c r="G361" s="56">
        <f>87617.981-240-881.116-100+1061.26+900+2126.427+6827.9+133+2.3+3300+165+320+511+2915.69134+4034+2120+3789.59665+180</f>
        <v>114783.03999</v>
      </c>
      <c r="H361" s="56"/>
    </row>
    <row r="362" spans="1:8" ht="84" customHeight="1" hidden="1">
      <c r="A362" s="23" t="s">
        <v>657</v>
      </c>
      <c r="B362" s="11" t="s">
        <v>380</v>
      </c>
      <c r="C362" s="11" t="s">
        <v>151</v>
      </c>
      <c r="D362" s="11" t="s">
        <v>648</v>
      </c>
      <c r="E362" s="11" t="s">
        <v>398</v>
      </c>
      <c r="F362" s="56">
        <f>G362</f>
        <v>0</v>
      </c>
      <c r="G362" s="56">
        <f>G363</f>
        <v>0</v>
      </c>
      <c r="H362" s="56"/>
    </row>
    <row r="363" spans="1:8" ht="52.5" customHeight="1" hidden="1">
      <c r="A363" s="23" t="s">
        <v>211</v>
      </c>
      <c r="B363" s="11" t="s">
        <v>380</v>
      </c>
      <c r="C363" s="11" t="s">
        <v>151</v>
      </c>
      <c r="D363" s="11" t="s">
        <v>648</v>
      </c>
      <c r="E363" s="11" t="s">
        <v>212</v>
      </c>
      <c r="F363" s="56">
        <f>G363</f>
        <v>0</v>
      </c>
      <c r="G363" s="56">
        <f>G364</f>
        <v>0</v>
      </c>
      <c r="H363" s="56"/>
    </row>
    <row r="364" spans="1:8" ht="19.5" customHeight="1" hidden="1">
      <c r="A364" s="23" t="s">
        <v>213</v>
      </c>
      <c r="B364" s="11" t="s">
        <v>380</v>
      </c>
      <c r="C364" s="11" t="s">
        <v>151</v>
      </c>
      <c r="D364" s="11" t="s">
        <v>648</v>
      </c>
      <c r="E364" s="11" t="s">
        <v>279</v>
      </c>
      <c r="F364" s="56">
        <f>G364</f>
        <v>0</v>
      </c>
      <c r="G364" s="56">
        <v>0</v>
      </c>
      <c r="H364" s="56"/>
    </row>
    <row r="365" spans="1:8" ht="50.25" customHeight="1">
      <c r="A365" s="23" t="s">
        <v>770</v>
      </c>
      <c r="B365" s="11" t="s">
        <v>380</v>
      </c>
      <c r="C365" s="11" t="s">
        <v>151</v>
      </c>
      <c r="D365" s="11" t="s">
        <v>765</v>
      </c>
      <c r="E365" s="11" t="s">
        <v>398</v>
      </c>
      <c r="F365" s="56">
        <f aca="true" t="shared" si="10" ref="F365:F370">G365+H365</f>
        <v>457</v>
      </c>
      <c r="G365" s="56">
        <f>G366</f>
        <v>457</v>
      </c>
      <c r="H365" s="56">
        <f>H366</f>
        <v>0</v>
      </c>
    </row>
    <row r="366" spans="1:8" ht="48.75" customHeight="1">
      <c r="A366" s="23" t="s">
        <v>211</v>
      </c>
      <c r="B366" s="11" t="s">
        <v>380</v>
      </c>
      <c r="C366" s="11" t="s">
        <v>151</v>
      </c>
      <c r="D366" s="11" t="s">
        <v>765</v>
      </c>
      <c r="E366" s="11" t="s">
        <v>212</v>
      </c>
      <c r="F366" s="56">
        <f t="shared" si="10"/>
        <v>457</v>
      </c>
      <c r="G366" s="56">
        <f>G367</f>
        <v>457</v>
      </c>
      <c r="H366" s="56">
        <f>H367</f>
        <v>0</v>
      </c>
    </row>
    <row r="367" spans="1:8" ht="19.5" customHeight="1">
      <c r="A367" s="23" t="s">
        <v>213</v>
      </c>
      <c r="B367" s="11" t="s">
        <v>380</v>
      </c>
      <c r="C367" s="11" t="s">
        <v>151</v>
      </c>
      <c r="D367" s="11" t="s">
        <v>765</v>
      </c>
      <c r="E367" s="11" t="s">
        <v>279</v>
      </c>
      <c r="F367" s="56">
        <f t="shared" si="10"/>
        <v>457</v>
      </c>
      <c r="G367" s="56">
        <v>457</v>
      </c>
      <c r="H367" s="56"/>
    </row>
    <row r="368" spans="1:8" ht="30.75" customHeight="1">
      <c r="A368" s="27" t="s">
        <v>827</v>
      </c>
      <c r="B368" s="11" t="s">
        <v>380</v>
      </c>
      <c r="C368" s="11" t="s">
        <v>151</v>
      </c>
      <c r="D368" s="11" t="s">
        <v>828</v>
      </c>
      <c r="E368" s="11" t="s">
        <v>398</v>
      </c>
      <c r="F368" s="57">
        <f t="shared" si="10"/>
        <v>9391.852689999998</v>
      </c>
      <c r="G368" s="57">
        <f>G369</f>
        <v>0</v>
      </c>
      <c r="H368" s="57">
        <f>H369</f>
        <v>9391.852689999998</v>
      </c>
    </row>
    <row r="369" spans="1:8" ht="54" customHeight="1">
      <c r="A369" s="23" t="s">
        <v>211</v>
      </c>
      <c r="B369" s="11" t="s">
        <v>380</v>
      </c>
      <c r="C369" s="11" t="s">
        <v>151</v>
      </c>
      <c r="D369" s="11" t="s">
        <v>828</v>
      </c>
      <c r="E369" s="11" t="s">
        <v>212</v>
      </c>
      <c r="F369" s="56">
        <f t="shared" si="10"/>
        <v>9391.852689999998</v>
      </c>
      <c r="G369" s="56">
        <f>G370</f>
        <v>0</v>
      </c>
      <c r="H369" s="56">
        <f>H370</f>
        <v>9391.852689999998</v>
      </c>
    </row>
    <row r="370" spans="1:8" ht="20.25" customHeight="1">
      <c r="A370" s="23" t="s">
        <v>213</v>
      </c>
      <c r="B370" s="11" t="s">
        <v>380</v>
      </c>
      <c r="C370" s="11" t="s">
        <v>151</v>
      </c>
      <c r="D370" s="11" t="s">
        <v>828</v>
      </c>
      <c r="E370" s="11" t="s">
        <v>279</v>
      </c>
      <c r="F370" s="56">
        <f t="shared" si="10"/>
        <v>9391.852689999998</v>
      </c>
      <c r="G370" s="98"/>
      <c r="H370" s="56">
        <f>11729.4507-1794.60596-542.99205</f>
        <v>9391.852689999998</v>
      </c>
    </row>
    <row r="371" spans="1:8" ht="79.5" customHeight="1">
      <c r="A371" s="23" t="s">
        <v>741</v>
      </c>
      <c r="B371" s="11" t="s">
        <v>380</v>
      </c>
      <c r="C371" s="11" t="s">
        <v>151</v>
      </c>
      <c r="D371" s="4" t="s">
        <v>742</v>
      </c>
      <c r="E371" s="11" t="s">
        <v>398</v>
      </c>
      <c r="F371" s="56">
        <f t="shared" si="7"/>
        <v>94.86721000000003</v>
      </c>
      <c r="G371" s="56">
        <f>G372</f>
        <v>94.86721000000003</v>
      </c>
      <c r="H371" s="56">
        <f>H372</f>
        <v>0</v>
      </c>
    </row>
    <row r="372" spans="1:8" ht="51" customHeight="1">
      <c r="A372" s="23" t="s">
        <v>211</v>
      </c>
      <c r="B372" s="11" t="s">
        <v>380</v>
      </c>
      <c r="C372" s="11" t="s">
        <v>151</v>
      </c>
      <c r="D372" s="4" t="s">
        <v>742</v>
      </c>
      <c r="E372" s="11" t="s">
        <v>212</v>
      </c>
      <c r="F372" s="56">
        <f t="shared" si="7"/>
        <v>94.86721000000003</v>
      </c>
      <c r="G372" s="56">
        <f>G373</f>
        <v>94.86721000000003</v>
      </c>
      <c r="H372" s="56">
        <f>H373</f>
        <v>0</v>
      </c>
    </row>
    <row r="373" spans="1:8" ht="19.5" customHeight="1">
      <c r="A373" s="23" t="s">
        <v>213</v>
      </c>
      <c r="B373" s="11" t="s">
        <v>380</v>
      </c>
      <c r="C373" s="11" t="s">
        <v>151</v>
      </c>
      <c r="D373" s="4" t="s">
        <v>742</v>
      </c>
      <c r="E373" s="11" t="s">
        <v>279</v>
      </c>
      <c r="F373" s="56">
        <f t="shared" si="7"/>
        <v>94.86721000000003</v>
      </c>
      <c r="G373" s="56">
        <f>427.19065-289.05627-43.26717</f>
        <v>94.86721000000003</v>
      </c>
      <c r="H373" s="111">
        <v>0</v>
      </c>
    </row>
    <row r="374" spans="1:8" ht="36" customHeight="1">
      <c r="A374" s="28" t="s">
        <v>251</v>
      </c>
      <c r="B374" s="11" t="s">
        <v>380</v>
      </c>
      <c r="C374" s="11" t="s">
        <v>151</v>
      </c>
      <c r="D374" s="11" t="s">
        <v>57</v>
      </c>
      <c r="E374" s="11" t="s">
        <v>398</v>
      </c>
      <c r="F374" s="56">
        <f t="shared" si="7"/>
        <v>1884.5</v>
      </c>
      <c r="G374" s="56">
        <f>G375+G378</f>
        <v>1884.5</v>
      </c>
      <c r="H374" s="56">
        <f>H375+H378</f>
        <v>0</v>
      </c>
    </row>
    <row r="375" spans="1:8" ht="32.25" customHeight="1">
      <c r="A375" s="27" t="s">
        <v>252</v>
      </c>
      <c r="B375" s="11" t="s">
        <v>380</v>
      </c>
      <c r="C375" s="11" t="s">
        <v>151</v>
      </c>
      <c r="D375" s="11" t="s">
        <v>58</v>
      </c>
      <c r="E375" s="11" t="s">
        <v>398</v>
      </c>
      <c r="F375" s="56">
        <f aca="true" t="shared" si="11" ref="F375:F407">G375+H375</f>
        <v>250</v>
      </c>
      <c r="G375" s="56">
        <f>G376</f>
        <v>250</v>
      </c>
      <c r="H375" s="56">
        <f>H377</f>
        <v>0</v>
      </c>
    </row>
    <row r="376" spans="1:8" ht="48.75" customHeight="1">
      <c r="A376" s="23" t="s">
        <v>211</v>
      </c>
      <c r="B376" s="11" t="s">
        <v>380</v>
      </c>
      <c r="C376" s="11" t="s">
        <v>151</v>
      </c>
      <c r="D376" s="11" t="s">
        <v>59</v>
      </c>
      <c r="E376" s="11" t="s">
        <v>212</v>
      </c>
      <c r="F376" s="56">
        <f t="shared" si="11"/>
        <v>250</v>
      </c>
      <c r="G376" s="56">
        <f>G377</f>
        <v>250</v>
      </c>
      <c r="H376" s="56"/>
    </row>
    <row r="377" spans="1:8" ht="15.75" customHeight="1">
      <c r="A377" s="23" t="s">
        <v>213</v>
      </c>
      <c r="B377" s="11" t="s">
        <v>380</v>
      </c>
      <c r="C377" s="11" t="s">
        <v>151</v>
      </c>
      <c r="D377" s="11" t="s">
        <v>59</v>
      </c>
      <c r="E377" s="11" t="s">
        <v>279</v>
      </c>
      <c r="F377" s="56">
        <f t="shared" si="11"/>
        <v>250</v>
      </c>
      <c r="G377" s="56">
        <v>250</v>
      </c>
      <c r="H377" s="56"/>
    </row>
    <row r="378" spans="1:8" ht="33" customHeight="1">
      <c r="A378" s="27" t="s">
        <v>247</v>
      </c>
      <c r="B378" s="11" t="s">
        <v>380</v>
      </c>
      <c r="C378" s="11" t="s">
        <v>151</v>
      </c>
      <c r="D378" s="11" t="s">
        <v>58</v>
      </c>
      <c r="E378" s="11" t="s">
        <v>398</v>
      </c>
      <c r="F378" s="56">
        <f t="shared" si="11"/>
        <v>1634.5</v>
      </c>
      <c r="G378" s="56">
        <f>G379</f>
        <v>1634.5</v>
      </c>
      <c r="H378" s="56">
        <f>H380</f>
        <v>0</v>
      </c>
    </row>
    <row r="379" spans="1:8" ht="50.25" customHeight="1">
      <c r="A379" s="23" t="s">
        <v>211</v>
      </c>
      <c r="B379" s="11" t="s">
        <v>380</v>
      </c>
      <c r="C379" s="11" t="s">
        <v>151</v>
      </c>
      <c r="D379" s="11" t="s">
        <v>60</v>
      </c>
      <c r="E379" s="11" t="s">
        <v>212</v>
      </c>
      <c r="F379" s="56">
        <f t="shared" si="11"/>
        <v>1634.5</v>
      </c>
      <c r="G379" s="56">
        <f>G380</f>
        <v>1634.5</v>
      </c>
      <c r="H379" s="56"/>
    </row>
    <row r="380" spans="1:8" ht="21.75" customHeight="1">
      <c r="A380" s="23" t="s">
        <v>213</v>
      </c>
      <c r="B380" s="11" t="s">
        <v>380</v>
      </c>
      <c r="C380" s="11" t="s">
        <v>151</v>
      </c>
      <c r="D380" s="11" t="s">
        <v>60</v>
      </c>
      <c r="E380" s="11" t="s">
        <v>279</v>
      </c>
      <c r="F380" s="56">
        <f t="shared" si="11"/>
        <v>1634.5</v>
      </c>
      <c r="G380" s="56">
        <f>1503+31.5+100</f>
        <v>1634.5</v>
      </c>
      <c r="H380" s="56"/>
    </row>
    <row r="381" spans="1:8" ht="33" customHeight="1" hidden="1">
      <c r="A381" s="28" t="s">
        <v>281</v>
      </c>
      <c r="B381" s="11" t="s">
        <v>380</v>
      </c>
      <c r="C381" s="11" t="s">
        <v>151</v>
      </c>
      <c r="D381" s="11" t="s">
        <v>61</v>
      </c>
      <c r="E381" s="11" t="s">
        <v>398</v>
      </c>
      <c r="F381" s="56">
        <f t="shared" si="11"/>
        <v>0</v>
      </c>
      <c r="G381" s="56">
        <f>G382</f>
        <v>0</v>
      </c>
      <c r="H381" s="56">
        <f>H382+H385+H387</f>
        <v>0</v>
      </c>
    </row>
    <row r="382" spans="1:8" ht="33.75" customHeight="1" hidden="1">
      <c r="A382" s="23" t="s">
        <v>135</v>
      </c>
      <c r="B382" s="11" t="s">
        <v>380</v>
      </c>
      <c r="C382" s="11" t="s">
        <v>151</v>
      </c>
      <c r="D382" s="11" t="s">
        <v>62</v>
      </c>
      <c r="E382" s="11" t="s">
        <v>398</v>
      </c>
      <c r="F382" s="56">
        <f t="shared" si="11"/>
        <v>0</v>
      </c>
      <c r="G382" s="56">
        <f>G383</f>
        <v>0</v>
      </c>
      <c r="H382" s="56"/>
    </row>
    <row r="383" spans="1:8" ht="50.25" customHeight="1" hidden="1">
      <c r="A383" s="23" t="s">
        <v>211</v>
      </c>
      <c r="B383" s="11" t="s">
        <v>380</v>
      </c>
      <c r="C383" s="11" t="s">
        <v>151</v>
      </c>
      <c r="D383" s="11" t="s">
        <v>62</v>
      </c>
      <c r="E383" s="11" t="s">
        <v>212</v>
      </c>
      <c r="F383" s="56">
        <f t="shared" si="11"/>
        <v>0</v>
      </c>
      <c r="G383" s="56">
        <f>G384+G385+G386+G387</f>
        <v>0</v>
      </c>
      <c r="H383" s="56"/>
    </row>
    <row r="384" spans="1:8" ht="35.25" customHeight="1" hidden="1">
      <c r="A384" s="23" t="s">
        <v>130</v>
      </c>
      <c r="B384" s="11" t="s">
        <v>380</v>
      </c>
      <c r="C384" s="11" t="s">
        <v>151</v>
      </c>
      <c r="D384" s="11" t="s">
        <v>63</v>
      </c>
      <c r="E384" s="11" t="s">
        <v>279</v>
      </c>
      <c r="F384" s="56">
        <f t="shared" si="11"/>
        <v>0</v>
      </c>
      <c r="G384" s="56"/>
      <c r="H384" s="56"/>
    </row>
    <row r="385" spans="1:8" ht="30.75" hidden="1">
      <c r="A385" s="23" t="s">
        <v>131</v>
      </c>
      <c r="B385" s="11" t="s">
        <v>380</v>
      </c>
      <c r="C385" s="11" t="s">
        <v>151</v>
      </c>
      <c r="D385" s="11" t="s">
        <v>64</v>
      </c>
      <c r="E385" s="11" t="s">
        <v>279</v>
      </c>
      <c r="F385" s="56">
        <f t="shared" si="11"/>
        <v>0</v>
      </c>
      <c r="G385" s="56"/>
      <c r="H385" s="129"/>
    </row>
    <row r="386" spans="1:8" ht="31.5" customHeight="1" hidden="1">
      <c r="A386" s="23" t="s">
        <v>214</v>
      </c>
      <c r="B386" s="11" t="s">
        <v>380</v>
      </c>
      <c r="C386" s="11" t="s">
        <v>151</v>
      </c>
      <c r="D386" s="11" t="s">
        <v>65</v>
      </c>
      <c r="E386" s="11" t="s">
        <v>279</v>
      </c>
      <c r="F386" s="56">
        <f t="shared" si="11"/>
        <v>0</v>
      </c>
      <c r="G386" s="56"/>
      <c r="H386" s="56"/>
    </row>
    <row r="387" spans="1:8" ht="34.5" customHeight="1" hidden="1">
      <c r="A387" s="23" t="s">
        <v>215</v>
      </c>
      <c r="B387" s="11" t="s">
        <v>380</v>
      </c>
      <c r="C387" s="11" t="s">
        <v>151</v>
      </c>
      <c r="D387" s="11" t="s">
        <v>66</v>
      </c>
      <c r="E387" s="11" t="s">
        <v>279</v>
      </c>
      <c r="F387" s="56">
        <f t="shared" si="11"/>
        <v>0</v>
      </c>
      <c r="G387" s="56"/>
      <c r="H387" s="56"/>
    </row>
    <row r="388" spans="1:8" ht="48.75" customHeight="1">
      <c r="A388" s="27" t="s">
        <v>453</v>
      </c>
      <c r="B388" s="24" t="s">
        <v>380</v>
      </c>
      <c r="C388" s="24" t="s">
        <v>151</v>
      </c>
      <c r="D388" s="24" t="s">
        <v>35</v>
      </c>
      <c r="E388" s="24" t="s">
        <v>398</v>
      </c>
      <c r="F388" s="56">
        <f t="shared" si="11"/>
        <v>192331.432</v>
      </c>
      <c r="G388" s="56">
        <f>G389</f>
        <v>0</v>
      </c>
      <c r="H388" s="56">
        <f>H389</f>
        <v>192331.432</v>
      </c>
    </row>
    <row r="389" spans="1:8" ht="39" customHeight="1">
      <c r="A389" s="28" t="s">
        <v>456</v>
      </c>
      <c r="B389" s="11" t="s">
        <v>380</v>
      </c>
      <c r="C389" s="11" t="s">
        <v>151</v>
      </c>
      <c r="D389" s="11" t="s">
        <v>53</v>
      </c>
      <c r="E389" s="11" t="s">
        <v>398</v>
      </c>
      <c r="F389" s="56">
        <f t="shared" si="11"/>
        <v>192331.432</v>
      </c>
      <c r="G389" s="56">
        <f>G390</f>
        <v>0</v>
      </c>
      <c r="H389" s="56">
        <f>H390</f>
        <v>192331.432</v>
      </c>
    </row>
    <row r="390" spans="1:8" s="125" customFormat="1" ht="16.5" customHeight="1">
      <c r="A390" s="27" t="s">
        <v>169</v>
      </c>
      <c r="B390" s="24" t="s">
        <v>380</v>
      </c>
      <c r="C390" s="24" t="s">
        <v>151</v>
      </c>
      <c r="D390" s="24" t="s">
        <v>35</v>
      </c>
      <c r="E390" s="24" t="s">
        <v>398</v>
      </c>
      <c r="F390" s="57">
        <f t="shared" si="11"/>
        <v>192331.432</v>
      </c>
      <c r="G390" s="57">
        <f>G391+G397</f>
        <v>0</v>
      </c>
      <c r="H390" s="57">
        <f>H391+H394+H397</f>
        <v>192331.432</v>
      </c>
    </row>
    <row r="391" spans="1:8" s="125" customFormat="1" ht="47.25" customHeight="1">
      <c r="A391" s="27" t="s">
        <v>556</v>
      </c>
      <c r="B391" s="24" t="s">
        <v>380</v>
      </c>
      <c r="C391" s="24" t="s">
        <v>151</v>
      </c>
      <c r="D391" s="24" t="s">
        <v>53</v>
      </c>
      <c r="E391" s="24" t="s">
        <v>398</v>
      </c>
      <c r="F391" s="57">
        <f t="shared" si="11"/>
        <v>8825.95</v>
      </c>
      <c r="G391" s="57">
        <f>G392</f>
        <v>0</v>
      </c>
      <c r="H391" s="57">
        <f>H392</f>
        <v>8825.95</v>
      </c>
    </row>
    <row r="392" spans="1:8" ht="49.5" customHeight="1">
      <c r="A392" s="23" t="s">
        <v>211</v>
      </c>
      <c r="B392" s="11" t="s">
        <v>380</v>
      </c>
      <c r="C392" s="11" t="s">
        <v>151</v>
      </c>
      <c r="D392" s="11" t="s">
        <v>557</v>
      </c>
      <c r="E392" s="11" t="s">
        <v>212</v>
      </c>
      <c r="F392" s="56">
        <f t="shared" si="11"/>
        <v>8825.95</v>
      </c>
      <c r="G392" s="56"/>
      <c r="H392" s="56">
        <f>H393</f>
        <v>8825.95</v>
      </c>
    </row>
    <row r="393" spans="1:8" ht="18" customHeight="1">
      <c r="A393" s="23" t="s">
        <v>213</v>
      </c>
      <c r="B393" s="11" t="s">
        <v>380</v>
      </c>
      <c r="C393" s="11" t="s">
        <v>151</v>
      </c>
      <c r="D393" s="11" t="s">
        <v>557</v>
      </c>
      <c r="E393" s="11" t="s">
        <v>279</v>
      </c>
      <c r="F393" s="56">
        <f t="shared" si="11"/>
        <v>8825.95</v>
      </c>
      <c r="G393" s="56"/>
      <c r="H393" s="56">
        <f>7825.95+1000</f>
        <v>8825.95</v>
      </c>
    </row>
    <row r="394" spans="1:8" ht="80.25" customHeight="1">
      <c r="A394" s="27" t="s">
        <v>729</v>
      </c>
      <c r="B394" s="24" t="s">
        <v>380</v>
      </c>
      <c r="C394" s="24" t="s">
        <v>151</v>
      </c>
      <c r="D394" s="24" t="s">
        <v>930</v>
      </c>
      <c r="E394" s="24" t="s">
        <v>398</v>
      </c>
      <c r="F394" s="57">
        <f t="shared" si="11"/>
        <v>10900.4</v>
      </c>
      <c r="G394" s="57">
        <v>0</v>
      </c>
      <c r="H394" s="57">
        <f>H395</f>
        <v>10900.4</v>
      </c>
    </row>
    <row r="395" spans="1:8" ht="45" customHeight="1">
      <c r="A395" s="23" t="s">
        <v>211</v>
      </c>
      <c r="B395" s="11" t="s">
        <v>380</v>
      </c>
      <c r="C395" s="11" t="s">
        <v>151</v>
      </c>
      <c r="D395" s="11" t="s">
        <v>930</v>
      </c>
      <c r="E395" s="11" t="s">
        <v>212</v>
      </c>
      <c r="F395" s="56">
        <f t="shared" si="11"/>
        <v>10900.4</v>
      </c>
      <c r="G395" s="56"/>
      <c r="H395" s="56">
        <f>H396</f>
        <v>10900.4</v>
      </c>
    </row>
    <row r="396" spans="1:8" ht="15" customHeight="1">
      <c r="A396" s="23" t="s">
        <v>213</v>
      </c>
      <c r="B396" s="11" t="s">
        <v>380</v>
      </c>
      <c r="C396" s="11" t="s">
        <v>151</v>
      </c>
      <c r="D396" s="11" t="s">
        <v>930</v>
      </c>
      <c r="E396" s="11" t="s">
        <v>279</v>
      </c>
      <c r="F396" s="56">
        <f t="shared" si="11"/>
        <v>10900.4</v>
      </c>
      <c r="G396" s="56"/>
      <c r="H396" s="56">
        <v>10900.4</v>
      </c>
    </row>
    <row r="397" spans="1:8" s="125" customFormat="1" ht="80.25" customHeight="1">
      <c r="A397" s="27" t="s">
        <v>182</v>
      </c>
      <c r="B397" s="24" t="s">
        <v>380</v>
      </c>
      <c r="C397" s="24" t="s">
        <v>151</v>
      </c>
      <c r="D397" s="24" t="s">
        <v>53</v>
      </c>
      <c r="E397" s="24" t="s">
        <v>398</v>
      </c>
      <c r="F397" s="57">
        <f t="shared" si="11"/>
        <v>172605.082</v>
      </c>
      <c r="G397" s="57">
        <f>G398</f>
        <v>0</v>
      </c>
      <c r="H397" s="57">
        <f>H398</f>
        <v>172605.082</v>
      </c>
    </row>
    <row r="398" spans="1:8" ht="48.75" customHeight="1">
      <c r="A398" s="23" t="s">
        <v>211</v>
      </c>
      <c r="B398" s="11" t="s">
        <v>380</v>
      </c>
      <c r="C398" s="11" t="s">
        <v>151</v>
      </c>
      <c r="D398" s="11" t="s">
        <v>67</v>
      </c>
      <c r="E398" s="11" t="s">
        <v>212</v>
      </c>
      <c r="F398" s="56">
        <f t="shared" si="11"/>
        <v>172605.082</v>
      </c>
      <c r="G398" s="56"/>
      <c r="H398" s="56">
        <f>H399</f>
        <v>172605.082</v>
      </c>
    </row>
    <row r="399" spans="1:8" ht="17.25" customHeight="1">
      <c r="A399" s="23" t="s">
        <v>213</v>
      </c>
      <c r="B399" s="11" t="s">
        <v>380</v>
      </c>
      <c r="C399" s="11" t="s">
        <v>151</v>
      </c>
      <c r="D399" s="11" t="s">
        <v>67</v>
      </c>
      <c r="E399" s="11" t="s">
        <v>279</v>
      </c>
      <c r="F399" s="56">
        <f t="shared" si="11"/>
        <v>172605.082</v>
      </c>
      <c r="G399" s="56"/>
      <c r="H399" s="56">
        <f>166876.77+5728.312</f>
        <v>172605.082</v>
      </c>
    </row>
    <row r="400" spans="1:8" ht="97.5" customHeight="1">
      <c r="A400" s="27" t="s">
        <v>724</v>
      </c>
      <c r="B400" s="24" t="s">
        <v>380</v>
      </c>
      <c r="C400" s="24" t="s">
        <v>151</v>
      </c>
      <c r="D400" s="24" t="s">
        <v>730</v>
      </c>
      <c r="E400" s="24" t="s">
        <v>398</v>
      </c>
      <c r="F400" s="57">
        <f t="shared" si="11"/>
        <v>19305</v>
      </c>
      <c r="G400" s="57">
        <v>0</v>
      </c>
      <c r="H400" s="57">
        <f>H401</f>
        <v>19305</v>
      </c>
    </row>
    <row r="401" spans="1:8" ht="45.75" customHeight="1">
      <c r="A401" s="23" t="s">
        <v>211</v>
      </c>
      <c r="B401" s="11" t="s">
        <v>380</v>
      </c>
      <c r="C401" s="11" t="s">
        <v>151</v>
      </c>
      <c r="D401" s="11" t="s">
        <v>730</v>
      </c>
      <c r="E401" s="11" t="s">
        <v>212</v>
      </c>
      <c r="F401" s="56">
        <f t="shared" si="11"/>
        <v>19305</v>
      </c>
      <c r="G401" s="56"/>
      <c r="H401" s="56">
        <f>H402</f>
        <v>19305</v>
      </c>
    </row>
    <row r="402" spans="1:8" ht="17.25" customHeight="1">
      <c r="A402" s="23" t="s">
        <v>213</v>
      </c>
      <c r="B402" s="11" t="s">
        <v>380</v>
      </c>
      <c r="C402" s="11" t="s">
        <v>151</v>
      </c>
      <c r="D402" s="11" t="s">
        <v>730</v>
      </c>
      <c r="E402" s="11" t="s">
        <v>279</v>
      </c>
      <c r="F402" s="56">
        <f t="shared" si="11"/>
        <v>19305</v>
      </c>
      <c r="G402" s="56"/>
      <c r="H402" s="56">
        <v>19305</v>
      </c>
    </row>
    <row r="403" spans="1:8" ht="60" customHeight="1" hidden="1">
      <c r="A403" s="23" t="s">
        <v>763</v>
      </c>
      <c r="B403" s="11" t="s">
        <v>380</v>
      </c>
      <c r="C403" s="11" t="s">
        <v>151</v>
      </c>
      <c r="D403" s="226" t="s">
        <v>18</v>
      </c>
      <c r="E403" s="24" t="s">
        <v>398</v>
      </c>
      <c r="F403" s="56">
        <f t="shared" si="11"/>
        <v>0</v>
      </c>
      <c r="G403" s="56">
        <f>G404</f>
        <v>0</v>
      </c>
      <c r="H403" s="56">
        <f>H404</f>
        <v>0</v>
      </c>
    </row>
    <row r="404" spans="1:8" ht="72" customHeight="1" hidden="1">
      <c r="A404" s="23" t="s">
        <v>761</v>
      </c>
      <c r="B404" s="11" t="s">
        <v>380</v>
      </c>
      <c r="C404" s="11" t="s">
        <v>151</v>
      </c>
      <c r="D404" s="226" t="s">
        <v>18</v>
      </c>
      <c r="E404" s="11" t="s">
        <v>212</v>
      </c>
      <c r="F404" s="56">
        <f t="shared" si="11"/>
        <v>0</v>
      </c>
      <c r="G404" s="56">
        <f>G405</f>
        <v>0</v>
      </c>
      <c r="H404" s="56">
        <f>H405</f>
        <v>0</v>
      </c>
    </row>
    <row r="405" spans="1:8" ht="17.25" customHeight="1" hidden="1">
      <c r="A405" s="23" t="s">
        <v>213</v>
      </c>
      <c r="B405" s="11" t="s">
        <v>380</v>
      </c>
      <c r="C405" s="11" t="s">
        <v>151</v>
      </c>
      <c r="D405" s="226" t="s">
        <v>18</v>
      </c>
      <c r="E405" s="11" t="s">
        <v>279</v>
      </c>
      <c r="F405" s="56">
        <f t="shared" si="11"/>
        <v>0</v>
      </c>
      <c r="G405" s="56">
        <v>0</v>
      </c>
      <c r="H405" s="56"/>
    </row>
    <row r="406" spans="1:10" ht="20.25" customHeight="1">
      <c r="A406" s="27" t="s">
        <v>558</v>
      </c>
      <c r="B406" s="24" t="s">
        <v>380</v>
      </c>
      <c r="C406" s="24" t="s">
        <v>156</v>
      </c>
      <c r="D406" s="24" t="s">
        <v>311</v>
      </c>
      <c r="E406" s="24" t="s">
        <v>398</v>
      </c>
      <c r="F406" s="57">
        <f t="shared" si="11"/>
        <v>43487.604999999996</v>
      </c>
      <c r="G406" s="57">
        <f>G407+G436+G421</f>
        <v>43487.604999999996</v>
      </c>
      <c r="H406" s="57">
        <f>H407</f>
        <v>0</v>
      </c>
      <c r="J406" s="130"/>
    </row>
    <row r="407" spans="1:9" s="125" customFormat="1" ht="48.75" customHeight="1">
      <c r="A407" s="27" t="s">
        <v>453</v>
      </c>
      <c r="B407" s="24" t="s">
        <v>380</v>
      </c>
      <c r="C407" s="24" t="s">
        <v>156</v>
      </c>
      <c r="D407" s="24" t="s">
        <v>35</v>
      </c>
      <c r="E407" s="24" t="s">
        <v>398</v>
      </c>
      <c r="F407" s="57">
        <f t="shared" si="11"/>
        <v>26665.035</v>
      </c>
      <c r="G407" s="57">
        <f>G408+G426</f>
        <v>26665.035</v>
      </c>
      <c r="H407" s="57">
        <f>H426</f>
        <v>0</v>
      </c>
      <c r="I407" s="131"/>
    </row>
    <row r="408" spans="1:8" ht="33.75" customHeight="1">
      <c r="A408" s="28" t="s">
        <v>281</v>
      </c>
      <c r="B408" s="11" t="s">
        <v>380</v>
      </c>
      <c r="C408" s="11" t="s">
        <v>156</v>
      </c>
      <c r="D408" s="11" t="s">
        <v>61</v>
      </c>
      <c r="E408" s="11" t="s">
        <v>398</v>
      </c>
      <c r="F408" s="56">
        <f>G408+H408</f>
        <v>26665.035</v>
      </c>
      <c r="G408" s="56">
        <f>G409</f>
        <v>26665.035</v>
      </c>
      <c r="H408" s="56"/>
    </row>
    <row r="409" spans="1:8" ht="30" customHeight="1">
      <c r="A409" s="23" t="s">
        <v>135</v>
      </c>
      <c r="B409" s="11" t="s">
        <v>380</v>
      </c>
      <c r="C409" s="11" t="s">
        <v>156</v>
      </c>
      <c r="D409" s="11" t="s">
        <v>62</v>
      </c>
      <c r="E409" s="11" t="s">
        <v>398</v>
      </c>
      <c r="F409" s="56">
        <f>G409+H409</f>
        <v>26665.035</v>
      </c>
      <c r="G409" s="56">
        <f>G410</f>
        <v>26665.035</v>
      </c>
      <c r="H409" s="56"/>
    </row>
    <row r="410" spans="1:8" ht="52.5" customHeight="1">
      <c r="A410" s="23" t="s">
        <v>211</v>
      </c>
      <c r="B410" s="11" t="s">
        <v>380</v>
      </c>
      <c r="C410" s="11" t="s">
        <v>156</v>
      </c>
      <c r="D410" s="11" t="s">
        <v>62</v>
      </c>
      <c r="E410" s="11" t="s">
        <v>212</v>
      </c>
      <c r="F410" s="56">
        <f>G410+H410</f>
        <v>26665.035</v>
      </c>
      <c r="G410" s="56">
        <f>G411+G412+G413+G417+G418+G416+G435</f>
        <v>26665.035</v>
      </c>
      <c r="H410" s="56"/>
    </row>
    <row r="411" spans="1:8" ht="36" customHeight="1">
      <c r="A411" s="23" t="s">
        <v>780</v>
      </c>
      <c r="B411" s="11" t="s">
        <v>380</v>
      </c>
      <c r="C411" s="11" t="s">
        <v>156</v>
      </c>
      <c r="D411" s="11" t="s">
        <v>781</v>
      </c>
      <c r="E411" s="11" t="s">
        <v>279</v>
      </c>
      <c r="F411" s="56">
        <f>G411</f>
        <v>80</v>
      </c>
      <c r="G411" s="56">
        <v>80</v>
      </c>
      <c r="H411" s="56"/>
    </row>
    <row r="412" spans="1:9" ht="34.5" customHeight="1">
      <c r="A412" s="23" t="s">
        <v>902</v>
      </c>
      <c r="B412" s="11" t="s">
        <v>380</v>
      </c>
      <c r="C412" s="11" t="s">
        <v>156</v>
      </c>
      <c r="D412" s="11" t="s">
        <v>63</v>
      </c>
      <c r="E412" s="11" t="s">
        <v>279</v>
      </c>
      <c r="F412" s="56">
        <f aca="true" t="shared" si="12" ref="F412:F428">G412+H412</f>
        <v>9419.23014</v>
      </c>
      <c r="G412" s="56">
        <f>6939.203-405.024+20+78.527+405.024-344.2705+700+471.4+74.37064+230+1250</f>
        <v>9419.23014</v>
      </c>
      <c r="H412" s="56"/>
      <c r="I412" s="130"/>
    </row>
    <row r="413" spans="1:9" ht="54" customHeight="1">
      <c r="A413" s="23" t="s">
        <v>934</v>
      </c>
      <c r="B413" s="11" t="s">
        <v>380</v>
      </c>
      <c r="C413" s="11" t="s">
        <v>156</v>
      </c>
      <c r="D413" s="11" t="s">
        <v>938</v>
      </c>
      <c r="E413" s="11" t="s">
        <v>398</v>
      </c>
      <c r="F413" s="56">
        <f>G413+H413</f>
        <v>269.89986000000005</v>
      </c>
      <c r="G413" s="56">
        <f>G414</f>
        <v>269.89986000000005</v>
      </c>
      <c r="H413" s="56"/>
      <c r="I413" s="130"/>
    </row>
    <row r="414" spans="1:9" ht="51" customHeight="1">
      <c r="A414" s="23" t="s">
        <v>211</v>
      </c>
      <c r="B414" s="11" t="s">
        <v>380</v>
      </c>
      <c r="C414" s="11" t="s">
        <v>156</v>
      </c>
      <c r="D414" s="11" t="s">
        <v>938</v>
      </c>
      <c r="E414" s="11" t="s">
        <v>212</v>
      </c>
      <c r="F414" s="56">
        <f>G414+H414</f>
        <v>269.89986000000005</v>
      </c>
      <c r="G414" s="56">
        <f>G415</f>
        <v>269.89986000000005</v>
      </c>
      <c r="H414" s="56"/>
      <c r="I414" s="130"/>
    </row>
    <row r="415" spans="1:9" ht="20.25" customHeight="1">
      <c r="A415" s="23" t="s">
        <v>213</v>
      </c>
      <c r="B415" s="11" t="s">
        <v>380</v>
      </c>
      <c r="C415" s="11" t="s">
        <v>156</v>
      </c>
      <c r="D415" s="11" t="s">
        <v>938</v>
      </c>
      <c r="E415" s="11" t="s">
        <v>279</v>
      </c>
      <c r="F415" s="56">
        <f>G415+H415</f>
        <v>269.89986000000005</v>
      </c>
      <c r="G415" s="56">
        <f>405.024-405.024+344.2705-74.37064</f>
        <v>269.89986000000005</v>
      </c>
      <c r="H415" s="56"/>
      <c r="I415" s="130"/>
    </row>
    <row r="416" spans="1:9" ht="47.25" customHeight="1">
      <c r="A416" s="23" t="s">
        <v>893</v>
      </c>
      <c r="B416" s="11" t="s">
        <v>380</v>
      </c>
      <c r="C416" s="11" t="s">
        <v>156</v>
      </c>
      <c r="D416" s="11" t="s">
        <v>768</v>
      </c>
      <c r="E416" s="11" t="s">
        <v>279</v>
      </c>
      <c r="F416" s="56">
        <f t="shared" si="12"/>
        <v>80</v>
      </c>
      <c r="G416" s="56">
        <v>80</v>
      </c>
      <c r="H416" s="56"/>
      <c r="I416" s="130"/>
    </row>
    <row r="417" spans="1:9" ht="31.5" customHeight="1">
      <c r="A417" s="23" t="s">
        <v>788</v>
      </c>
      <c r="B417" s="11" t="s">
        <v>380</v>
      </c>
      <c r="C417" s="11" t="s">
        <v>156</v>
      </c>
      <c r="D417" s="11" t="s">
        <v>64</v>
      </c>
      <c r="E417" s="11" t="s">
        <v>279</v>
      </c>
      <c r="F417" s="56">
        <f t="shared" si="12"/>
        <v>15743.026119999999</v>
      </c>
      <c r="G417" s="56">
        <f>13957.675-410.087+222.8+410.087-470.8405+451.1+92.29162+840+650</f>
        <v>15743.026119999999</v>
      </c>
      <c r="H417" s="56"/>
      <c r="I417" s="130"/>
    </row>
    <row r="418" spans="1:9" ht="63" customHeight="1">
      <c r="A418" s="23" t="s">
        <v>935</v>
      </c>
      <c r="B418" s="11" t="s">
        <v>380</v>
      </c>
      <c r="C418" s="11" t="s">
        <v>156</v>
      </c>
      <c r="D418" s="11" t="s">
        <v>938</v>
      </c>
      <c r="E418" s="11" t="s">
        <v>398</v>
      </c>
      <c r="F418" s="56">
        <f>G418+H418</f>
        <v>378.54888000000005</v>
      </c>
      <c r="G418" s="56">
        <f>G419</f>
        <v>378.54888000000005</v>
      </c>
      <c r="H418" s="56"/>
      <c r="I418" s="130"/>
    </row>
    <row r="419" spans="1:9" ht="51" customHeight="1">
      <c r="A419" s="23" t="s">
        <v>211</v>
      </c>
      <c r="B419" s="11" t="s">
        <v>380</v>
      </c>
      <c r="C419" s="11" t="s">
        <v>156</v>
      </c>
      <c r="D419" s="11" t="s">
        <v>938</v>
      </c>
      <c r="E419" s="11" t="s">
        <v>212</v>
      </c>
      <c r="F419" s="56">
        <f>G419+H419</f>
        <v>378.54888000000005</v>
      </c>
      <c r="G419" s="56">
        <f>G420</f>
        <v>378.54888000000005</v>
      </c>
      <c r="H419" s="56"/>
      <c r="I419" s="130"/>
    </row>
    <row r="420" spans="1:9" ht="20.25" customHeight="1">
      <c r="A420" s="23" t="s">
        <v>213</v>
      </c>
      <c r="B420" s="11" t="s">
        <v>380</v>
      </c>
      <c r="C420" s="11" t="s">
        <v>156</v>
      </c>
      <c r="D420" s="11" t="s">
        <v>938</v>
      </c>
      <c r="E420" s="11" t="s">
        <v>279</v>
      </c>
      <c r="F420" s="56">
        <f>G420+H420</f>
        <v>378.54888000000005</v>
      </c>
      <c r="G420" s="56">
        <f>410.087-410.087+470.8405-92.29162</f>
        <v>378.54888000000005</v>
      </c>
      <c r="H420" s="56"/>
      <c r="I420" s="130"/>
    </row>
    <row r="421" spans="1:9" s="125" customFormat="1" ht="54.75" customHeight="1">
      <c r="A421" s="27" t="s">
        <v>465</v>
      </c>
      <c r="B421" s="24" t="s">
        <v>380</v>
      </c>
      <c r="C421" s="24" t="s">
        <v>156</v>
      </c>
      <c r="D421" s="24" t="s">
        <v>80</v>
      </c>
      <c r="E421" s="24" t="s">
        <v>398</v>
      </c>
      <c r="F421" s="57">
        <f t="shared" si="12"/>
        <v>16663.87</v>
      </c>
      <c r="G421" s="57">
        <f>G423</f>
        <v>16663.87</v>
      </c>
      <c r="H421" s="57">
        <f>H424+H425</f>
        <v>0</v>
      </c>
      <c r="I421" s="131"/>
    </row>
    <row r="422" spans="1:9" s="125" customFormat="1" ht="52.5" customHeight="1">
      <c r="A422" s="27" t="s">
        <v>846</v>
      </c>
      <c r="B422" s="24" t="s">
        <v>380</v>
      </c>
      <c r="C422" s="24" t="s">
        <v>156</v>
      </c>
      <c r="D422" s="24" t="s">
        <v>80</v>
      </c>
      <c r="E422" s="24" t="s">
        <v>398</v>
      </c>
      <c r="F422" s="57">
        <f t="shared" si="12"/>
        <v>16663.87</v>
      </c>
      <c r="G422" s="57">
        <f>G423</f>
        <v>16663.87</v>
      </c>
      <c r="H422" s="57"/>
      <c r="I422" s="131"/>
    </row>
    <row r="423" spans="1:9" ht="24.75" customHeight="1">
      <c r="A423" s="23" t="s">
        <v>176</v>
      </c>
      <c r="B423" s="11" t="s">
        <v>380</v>
      </c>
      <c r="C423" s="11" t="s">
        <v>156</v>
      </c>
      <c r="D423" s="11" t="s">
        <v>80</v>
      </c>
      <c r="E423" s="11" t="s">
        <v>212</v>
      </c>
      <c r="F423" s="56">
        <f t="shared" si="12"/>
        <v>16663.87</v>
      </c>
      <c r="G423" s="56">
        <f>G424+G425</f>
        <v>16663.87</v>
      </c>
      <c r="H423" s="56"/>
      <c r="I423" s="130"/>
    </row>
    <row r="424" spans="1:9" ht="36" customHeight="1">
      <c r="A424" s="35" t="s">
        <v>882</v>
      </c>
      <c r="B424" s="11" t="s">
        <v>380</v>
      </c>
      <c r="C424" s="11" t="s">
        <v>156</v>
      </c>
      <c r="D424" s="11" t="s">
        <v>847</v>
      </c>
      <c r="E424" s="11" t="s">
        <v>279</v>
      </c>
      <c r="F424" s="56">
        <f t="shared" si="12"/>
        <v>11011.815999999999</v>
      </c>
      <c r="G424" s="56">
        <f>9282.416+273.3+710+198.5+547.6</f>
        <v>11011.815999999999</v>
      </c>
      <c r="H424" s="56"/>
      <c r="I424" s="130"/>
    </row>
    <row r="425" spans="1:9" ht="34.5" customHeight="1">
      <c r="A425" s="35" t="s">
        <v>884</v>
      </c>
      <c r="B425" s="11" t="s">
        <v>380</v>
      </c>
      <c r="C425" s="11" t="s">
        <v>156</v>
      </c>
      <c r="D425" s="11" t="s">
        <v>848</v>
      </c>
      <c r="E425" s="11" t="s">
        <v>279</v>
      </c>
      <c r="F425" s="56">
        <f t="shared" si="12"/>
        <v>5652.054</v>
      </c>
      <c r="G425" s="56">
        <f>4030.554+196.5+305+1120</f>
        <v>5652.054</v>
      </c>
      <c r="H425" s="56"/>
      <c r="I425" s="130"/>
    </row>
    <row r="426" spans="1:9" ht="80.25" customHeight="1" hidden="1">
      <c r="A426" s="35" t="s">
        <v>579</v>
      </c>
      <c r="B426" s="11" t="s">
        <v>380</v>
      </c>
      <c r="C426" s="11" t="s">
        <v>156</v>
      </c>
      <c r="D426" s="11" t="s">
        <v>781</v>
      </c>
      <c r="E426" s="51" t="s">
        <v>398</v>
      </c>
      <c r="F426" s="98">
        <f t="shared" si="12"/>
        <v>0</v>
      </c>
      <c r="G426" s="98">
        <f>G427+G429</f>
        <v>0</v>
      </c>
      <c r="H426" s="98">
        <f>H427</f>
        <v>0</v>
      </c>
      <c r="I426" s="130"/>
    </row>
    <row r="427" spans="1:9" ht="88.5" customHeight="1" hidden="1">
      <c r="A427" s="23" t="s">
        <v>596</v>
      </c>
      <c r="B427" s="11" t="s">
        <v>380</v>
      </c>
      <c r="C427" s="11" t="s">
        <v>156</v>
      </c>
      <c r="D427" s="11" t="s">
        <v>789</v>
      </c>
      <c r="E427" s="11" t="s">
        <v>398</v>
      </c>
      <c r="F427" s="56">
        <f t="shared" si="12"/>
        <v>0</v>
      </c>
      <c r="G427" s="56">
        <f>G428</f>
        <v>0</v>
      </c>
      <c r="H427" s="56">
        <f>H428</f>
        <v>0</v>
      </c>
      <c r="I427" s="130"/>
    </row>
    <row r="428" spans="1:9" ht="23.25" customHeight="1" hidden="1">
      <c r="A428" s="23" t="s">
        <v>213</v>
      </c>
      <c r="B428" s="11" t="s">
        <v>380</v>
      </c>
      <c r="C428" s="11" t="s">
        <v>156</v>
      </c>
      <c r="D428" s="11" t="s">
        <v>790</v>
      </c>
      <c r="E428" s="11" t="s">
        <v>212</v>
      </c>
      <c r="F428" s="56">
        <f t="shared" si="12"/>
        <v>0</v>
      </c>
      <c r="G428" s="56">
        <v>0</v>
      </c>
      <c r="H428" s="56">
        <v>0</v>
      </c>
      <c r="I428" s="130"/>
    </row>
    <row r="429" spans="1:9" ht="111.75" customHeight="1" hidden="1">
      <c r="A429" s="23" t="s">
        <v>580</v>
      </c>
      <c r="B429" s="11" t="s">
        <v>380</v>
      </c>
      <c r="C429" s="11" t="s">
        <v>156</v>
      </c>
      <c r="D429" s="11" t="s">
        <v>791</v>
      </c>
      <c r="E429" s="11" t="s">
        <v>212</v>
      </c>
      <c r="F429" s="56">
        <f aca="true" t="shared" si="13" ref="F429:F434">G429</f>
        <v>0</v>
      </c>
      <c r="G429" s="56">
        <f>G430</f>
        <v>0</v>
      </c>
      <c r="H429" s="56">
        <f>H430</f>
        <v>0</v>
      </c>
      <c r="I429" s="130"/>
    </row>
    <row r="430" spans="1:9" ht="24" customHeight="1" hidden="1">
      <c r="A430" s="23" t="s">
        <v>213</v>
      </c>
      <c r="B430" s="11" t="s">
        <v>380</v>
      </c>
      <c r="C430" s="11" t="s">
        <v>156</v>
      </c>
      <c r="D430" s="11" t="s">
        <v>792</v>
      </c>
      <c r="E430" s="11" t="s">
        <v>279</v>
      </c>
      <c r="F430" s="56">
        <f t="shared" si="13"/>
        <v>0</v>
      </c>
      <c r="G430" s="56">
        <v>0</v>
      </c>
      <c r="H430" s="56">
        <v>0</v>
      </c>
      <c r="I430" s="130"/>
    </row>
    <row r="431" spans="1:9" ht="1.5" customHeight="1" hidden="1">
      <c r="A431" s="35" t="s">
        <v>550</v>
      </c>
      <c r="B431" s="11" t="s">
        <v>380</v>
      </c>
      <c r="C431" s="11" t="s">
        <v>156</v>
      </c>
      <c r="D431" s="11" t="s">
        <v>793</v>
      </c>
      <c r="E431" s="51" t="s">
        <v>398</v>
      </c>
      <c r="F431" s="98">
        <f t="shared" si="13"/>
        <v>0</v>
      </c>
      <c r="G431" s="98">
        <f>G432</f>
        <v>0</v>
      </c>
      <c r="H431" s="98"/>
      <c r="I431" s="130"/>
    </row>
    <row r="432" spans="1:9" ht="34.5" customHeight="1" hidden="1">
      <c r="A432" s="23" t="s">
        <v>559</v>
      </c>
      <c r="B432" s="11" t="s">
        <v>380</v>
      </c>
      <c r="C432" s="11" t="s">
        <v>156</v>
      </c>
      <c r="D432" s="11" t="s">
        <v>794</v>
      </c>
      <c r="E432" s="11" t="s">
        <v>398</v>
      </c>
      <c r="F432" s="56">
        <f t="shared" si="13"/>
        <v>0</v>
      </c>
      <c r="G432" s="56">
        <f>G433</f>
        <v>0</v>
      </c>
      <c r="H432" s="56"/>
      <c r="I432" s="130"/>
    </row>
    <row r="433" spans="1:9" ht="47.25" customHeight="1" hidden="1">
      <c r="A433" s="23" t="s">
        <v>211</v>
      </c>
      <c r="B433" s="11" t="s">
        <v>380</v>
      </c>
      <c r="C433" s="11" t="s">
        <v>156</v>
      </c>
      <c r="D433" s="11" t="s">
        <v>795</v>
      </c>
      <c r="E433" s="11" t="s">
        <v>212</v>
      </c>
      <c r="F433" s="56">
        <f t="shared" si="13"/>
        <v>0</v>
      </c>
      <c r="G433" s="56">
        <f>G434</f>
        <v>0</v>
      </c>
      <c r="H433" s="56"/>
      <c r="I433" s="130"/>
    </row>
    <row r="434" spans="1:9" ht="23.25" customHeight="1" hidden="1">
      <c r="A434" s="23" t="s">
        <v>213</v>
      </c>
      <c r="B434" s="11" t="s">
        <v>380</v>
      </c>
      <c r="C434" s="11" t="s">
        <v>156</v>
      </c>
      <c r="D434" s="11" t="s">
        <v>796</v>
      </c>
      <c r="E434" s="11" t="s">
        <v>279</v>
      </c>
      <c r="F434" s="56">
        <f t="shared" si="13"/>
        <v>0</v>
      </c>
      <c r="G434" s="56"/>
      <c r="H434" s="56"/>
      <c r="I434" s="130"/>
    </row>
    <row r="435" spans="1:9" ht="81.75" customHeight="1">
      <c r="A435" s="23" t="s">
        <v>803</v>
      </c>
      <c r="B435" s="11" t="s">
        <v>380</v>
      </c>
      <c r="C435" s="11" t="s">
        <v>156</v>
      </c>
      <c r="D435" s="11" t="s">
        <v>789</v>
      </c>
      <c r="E435" s="11" t="s">
        <v>279</v>
      </c>
      <c r="F435" s="56">
        <f>G435</f>
        <v>694.33</v>
      </c>
      <c r="G435" s="56">
        <v>694.33</v>
      </c>
      <c r="H435" s="56"/>
      <c r="I435" s="130"/>
    </row>
    <row r="436" spans="1:9" ht="50.25" customHeight="1">
      <c r="A436" s="27" t="s">
        <v>455</v>
      </c>
      <c r="B436" s="24" t="s">
        <v>380</v>
      </c>
      <c r="C436" s="24" t="s">
        <v>156</v>
      </c>
      <c r="D436" s="24" t="s">
        <v>819</v>
      </c>
      <c r="E436" s="24" t="s">
        <v>398</v>
      </c>
      <c r="F436" s="57">
        <f aca="true" t="shared" si="14" ref="F436:F458">G436+H436</f>
        <v>158.7</v>
      </c>
      <c r="G436" s="57">
        <f>G437</f>
        <v>158.7</v>
      </c>
      <c r="H436" s="57">
        <f>H437</f>
        <v>0</v>
      </c>
      <c r="I436" s="130"/>
    </row>
    <row r="437" spans="1:9" ht="49.5" customHeight="1">
      <c r="A437" s="23" t="s">
        <v>211</v>
      </c>
      <c r="B437" s="11" t="s">
        <v>380</v>
      </c>
      <c r="C437" s="11" t="s">
        <v>156</v>
      </c>
      <c r="D437" s="11" t="s">
        <v>819</v>
      </c>
      <c r="E437" s="11" t="s">
        <v>212</v>
      </c>
      <c r="F437" s="56">
        <f t="shared" si="14"/>
        <v>158.7</v>
      </c>
      <c r="G437" s="56">
        <f>G438</f>
        <v>158.7</v>
      </c>
      <c r="H437" s="56">
        <f>H438</f>
        <v>0</v>
      </c>
      <c r="I437" s="130"/>
    </row>
    <row r="438" spans="1:9" ht="18.75" customHeight="1">
      <c r="A438" s="23" t="s">
        <v>213</v>
      </c>
      <c r="B438" s="11" t="s">
        <v>380</v>
      </c>
      <c r="C438" s="11" t="s">
        <v>156</v>
      </c>
      <c r="D438" s="11" t="s">
        <v>819</v>
      </c>
      <c r="E438" s="11" t="s">
        <v>279</v>
      </c>
      <c r="F438" s="56">
        <f t="shared" si="14"/>
        <v>158.7</v>
      </c>
      <c r="G438" s="56">
        <f>98.5+60.2</f>
        <v>158.7</v>
      </c>
      <c r="H438" s="56">
        <v>0</v>
      </c>
      <c r="I438" s="130"/>
    </row>
    <row r="439" spans="1:8" s="125" customFormat="1" ht="48.75" customHeight="1">
      <c r="A439" s="27" t="s">
        <v>453</v>
      </c>
      <c r="B439" s="24" t="s">
        <v>380</v>
      </c>
      <c r="C439" s="24" t="s">
        <v>377</v>
      </c>
      <c r="D439" s="24" t="s">
        <v>35</v>
      </c>
      <c r="E439" s="24" t="s">
        <v>398</v>
      </c>
      <c r="F439" s="57">
        <f t="shared" si="14"/>
        <v>70</v>
      </c>
      <c r="G439" s="57">
        <f>G440</f>
        <v>70</v>
      </c>
      <c r="H439" s="57">
        <f>H440</f>
        <v>0</v>
      </c>
    </row>
    <row r="440" spans="1:8" ht="32.25" customHeight="1">
      <c r="A440" s="28" t="s">
        <v>372</v>
      </c>
      <c r="B440" s="11" t="s">
        <v>380</v>
      </c>
      <c r="C440" s="11" t="s">
        <v>377</v>
      </c>
      <c r="D440" s="11" t="s">
        <v>68</v>
      </c>
      <c r="E440" s="11" t="s">
        <v>398</v>
      </c>
      <c r="F440" s="56">
        <f t="shared" si="14"/>
        <v>70</v>
      </c>
      <c r="G440" s="56">
        <f>G441</f>
        <v>70</v>
      </c>
      <c r="H440" s="56">
        <f>H441</f>
        <v>0</v>
      </c>
    </row>
    <row r="441" spans="1:8" ht="32.25" customHeight="1">
      <c r="A441" s="23" t="s">
        <v>248</v>
      </c>
      <c r="B441" s="11" t="s">
        <v>380</v>
      </c>
      <c r="C441" s="11" t="s">
        <v>377</v>
      </c>
      <c r="D441" s="11" t="s">
        <v>69</v>
      </c>
      <c r="E441" s="11" t="s">
        <v>398</v>
      </c>
      <c r="F441" s="56">
        <f t="shared" si="14"/>
        <v>70</v>
      </c>
      <c r="G441" s="56">
        <f>G442</f>
        <v>70</v>
      </c>
      <c r="H441" s="56">
        <f>H443</f>
        <v>0</v>
      </c>
    </row>
    <row r="442" spans="1:8" ht="49.5" customHeight="1">
      <c r="A442" s="23" t="s">
        <v>211</v>
      </c>
      <c r="B442" s="11" t="s">
        <v>380</v>
      </c>
      <c r="C442" s="11" t="s">
        <v>377</v>
      </c>
      <c r="D442" s="11" t="s">
        <v>69</v>
      </c>
      <c r="E442" s="11" t="s">
        <v>212</v>
      </c>
      <c r="F442" s="56">
        <f t="shared" si="14"/>
        <v>70</v>
      </c>
      <c r="G442" s="56">
        <f>G443</f>
        <v>70</v>
      </c>
      <c r="H442" s="56"/>
    </row>
    <row r="443" spans="1:8" ht="20.25" customHeight="1">
      <c r="A443" s="23" t="s">
        <v>213</v>
      </c>
      <c r="B443" s="11" t="s">
        <v>380</v>
      </c>
      <c r="C443" s="11" t="s">
        <v>377</v>
      </c>
      <c r="D443" s="11" t="s">
        <v>69</v>
      </c>
      <c r="E443" s="11" t="s">
        <v>279</v>
      </c>
      <c r="F443" s="56">
        <f t="shared" si="14"/>
        <v>70</v>
      </c>
      <c r="G443" s="56">
        <f>30+20+20</f>
        <v>70</v>
      </c>
      <c r="H443" s="56"/>
    </row>
    <row r="444" spans="1:8" ht="20.25" customHeight="1">
      <c r="A444" s="27" t="s">
        <v>661</v>
      </c>
      <c r="B444" s="24" t="s">
        <v>380</v>
      </c>
      <c r="C444" s="24" t="s">
        <v>380</v>
      </c>
      <c r="D444" s="24" t="s">
        <v>311</v>
      </c>
      <c r="E444" s="24" t="s">
        <v>398</v>
      </c>
      <c r="F444" s="57">
        <f t="shared" si="14"/>
        <v>1614.1213</v>
      </c>
      <c r="G444" s="57">
        <f>G445</f>
        <v>0</v>
      </c>
      <c r="H444" s="57">
        <f>H445</f>
        <v>1614.1213</v>
      </c>
    </row>
    <row r="445" spans="1:8" ht="49.5" customHeight="1">
      <c r="A445" s="27" t="s">
        <v>453</v>
      </c>
      <c r="B445" s="24" t="s">
        <v>380</v>
      </c>
      <c r="C445" s="24" t="s">
        <v>380</v>
      </c>
      <c r="D445" s="24" t="s">
        <v>35</v>
      </c>
      <c r="E445" s="24" t="s">
        <v>398</v>
      </c>
      <c r="F445" s="56">
        <f t="shared" si="14"/>
        <v>1614.1213</v>
      </c>
      <c r="G445" s="56">
        <f>G446+G452</f>
        <v>0</v>
      </c>
      <c r="H445" s="56">
        <f>H446+H452</f>
        <v>1614.1213</v>
      </c>
    </row>
    <row r="446" spans="1:8" ht="33.75" customHeight="1">
      <c r="A446" s="28" t="s">
        <v>444</v>
      </c>
      <c r="B446" s="11" t="s">
        <v>380</v>
      </c>
      <c r="C446" s="11" t="s">
        <v>380</v>
      </c>
      <c r="D446" s="11" t="s">
        <v>70</v>
      </c>
      <c r="E446" s="11" t="s">
        <v>398</v>
      </c>
      <c r="F446" s="56">
        <f t="shared" si="14"/>
        <v>1614.1213</v>
      </c>
      <c r="G446" s="56">
        <f>G447+G459</f>
        <v>0</v>
      </c>
      <c r="H446" s="56">
        <f>H447</f>
        <v>1614.1213</v>
      </c>
    </row>
    <row r="447" spans="1:8" s="125" customFormat="1" ht="65.25" customHeight="1">
      <c r="A447" s="27" t="s">
        <v>690</v>
      </c>
      <c r="B447" s="24" t="s">
        <v>380</v>
      </c>
      <c r="C447" s="24" t="s">
        <v>380</v>
      </c>
      <c r="D447" s="24" t="s">
        <v>70</v>
      </c>
      <c r="E447" s="24" t="s">
        <v>398</v>
      </c>
      <c r="F447" s="57">
        <f t="shared" si="14"/>
        <v>1614.1213</v>
      </c>
      <c r="G447" s="57"/>
      <c r="H447" s="57">
        <f>H448+H450</f>
        <v>1614.1213</v>
      </c>
    </row>
    <row r="448" spans="1:8" ht="33" customHeight="1" hidden="1">
      <c r="A448" s="44" t="s">
        <v>202</v>
      </c>
      <c r="B448" s="11" t="s">
        <v>380</v>
      </c>
      <c r="C448" s="11" t="s">
        <v>380</v>
      </c>
      <c r="D448" s="11" t="s">
        <v>71</v>
      </c>
      <c r="E448" s="11" t="s">
        <v>159</v>
      </c>
      <c r="F448" s="56">
        <f t="shared" si="14"/>
        <v>0</v>
      </c>
      <c r="G448" s="56"/>
      <c r="H448" s="56">
        <f>H449</f>
        <v>0</v>
      </c>
    </row>
    <row r="449" spans="1:8" ht="33" customHeight="1" hidden="1">
      <c r="A449" s="44" t="s">
        <v>203</v>
      </c>
      <c r="B449" s="11" t="s">
        <v>380</v>
      </c>
      <c r="C449" s="11" t="s">
        <v>380</v>
      </c>
      <c r="D449" s="11" t="s">
        <v>71</v>
      </c>
      <c r="E449" s="11" t="s">
        <v>204</v>
      </c>
      <c r="F449" s="56">
        <f t="shared" si="14"/>
        <v>0</v>
      </c>
      <c r="G449" s="56"/>
      <c r="H449" s="56"/>
    </row>
    <row r="450" spans="1:8" ht="48.75" customHeight="1">
      <c r="A450" s="44" t="s">
        <v>211</v>
      </c>
      <c r="B450" s="11" t="s">
        <v>380</v>
      </c>
      <c r="C450" s="11" t="s">
        <v>380</v>
      </c>
      <c r="D450" s="11" t="s">
        <v>71</v>
      </c>
      <c r="E450" s="11" t="s">
        <v>212</v>
      </c>
      <c r="F450" s="56">
        <f t="shared" si="14"/>
        <v>1614.1213</v>
      </c>
      <c r="G450" s="56"/>
      <c r="H450" s="56">
        <f>H451</f>
        <v>1614.1213</v>
      </c>
    </row>
    <row r="451" spans="1:8" ht="18" customHeight="1">
      <c r="A451" s="44" t="s">
        <v>213</v>
      </c>
      <c r="B451" s="11" t="s">
        <v>380</v>
      </c>
      <c r="C451" s="11" t="s">
        <v>380</v>
      </c>
      <c r="D451" s="11" t="s">
        <v>71</v>
      </c>
      <c r="E451" s="11" t="s">
        <v>279</v>
      </c>
      <c r="F451" s="56">
        <f t="shared" si="14"/>
        <v>1614.1213</v>
      </c>
      <c r="G451" s="56"/>
      <c r="H451" s="99">
        <f>1914.1213-300</f>
        <v>1614.1213</v>
      </c>
    </row>
    <row r="452" spans="1:9" ht="51" customHeight="1" hidden="1">
      <c r="A452" s="35" t="s">
        <v>632</v>
      </c>
      <c r="B452" s="11" t="s">
        <v>380</v>
      </c>
      <c r="C452" s="11" t="s">
        <v>380</v>
      </c>
      <c r="D452" s="51" t="s">
        <v>311</v>
      </c>
      <c r="E452" s="51" t="s">
        <v>398</v>
      </c>
      <c r="F452" s="98">
        <f t="shared" si="14"/>
        <v>0</v>
      </c>
      <c r="G452" s="98">
        <f>G456</f>
        <v>0</v>
      </c>
      <c r="H452" s="98">
        <f>H453</f>
        <v>0</v>
      </c>
      <c r="I452" s="130"/>
    </row>
    <row r="453" spans="1:9" ht="82.5" customHeight="1" hidden="1">
      <c r="A453" s="23" t="s">
        <v>642</v>
      </c>
      <c r="B453" s="11" t="s">
        <v>380</v>
      </c>
      <c r="C453" s="11" t="s">
        <v>380</v>
      </c>
      <c r="D453" s="11" t="s">
        <v>651</v>
      </c>
      <c r="E453" s="11" t="s">
        <v>398</v>
      </c>
      <c r="F453" s="56">
        <f t="shared" si="14"/>
        <v>0</v>
      </c>
      <c r="G453" s="56"/>
      <c r="H453" s="56">
        <f>H454</f>
        <v>0</v>
      </c>
      <c r="I453" s="130"/>
    </row>
    <row r="454" spans="1:9" ht="45" customHeight="1" hidden="1">
      <c r="A454" s="23" t="s">
        <v>211</v>
      </c>
      <c r="B454" s="11" t="s">
        <v>380</v>
      </c>
      <c r="C454" s="11" t="s">
        <v>380</v>
      </c>
      <c r="D454" s="11" t="s">
        <v>651</v>
      </c>
      <c r="E454" s="11" t="s">
        <v>212</v>
      </c>
      <c r="F454" s="56">
        <f t="shared" si="14"/>
        <v>0</v>
      </c>
      <c r="G454" s="56"/>
      <c r="H454" s="56">
        <f>H455</f>
        <v>0</v>
      </c>
      <c r="I454" s="130"/>
    </row>
    <row r="455" spans="1:9" ht="23.25" customHeight="1" hidden="1">
      <c r="A455" s="23" t="s">
        <v>213</v>
      </c>
      <c r="B455" s="11" t="s">
        <v>380</v>
      </c>
      <c r="C455" s="11" t="s">
        <v>380</v>
      </c>
      <c r="D455" s="11" t="s">
        <v>651</v>
      </c>
      <c r="E455" s="11" t="s">
        <v>279</v>
      </c>
      <c r="F455" s="56">
        <f t="shared" si="14"/>
        <v>0</v>
      </c>
      <c r="G455" s="56"/>
      <c r="H455" s="56">
        <v>0</v>
      </c>
      <c r="I455" s="130"/>
    </row>
    <row r="456" spans="1:9" ht="93.75" customHeight="1" hidden="1">
      <c r="A456" s="23" t="s">
        <v>643</v>
      </c>
      <c r="B456" s="11" t="s">
        <v>380</v>
      </c>
      <c r="C456" s="11" t="s">
        <v>380</v>
      </c>
      <c r="D456" s="11" t="s">
        <v>693</v>
      </c>
      <c r="E456" s="11" t="s">
        <v>398</v>
      </c>
      <c r="F456" s="56">
        <f t="shared" si="14"/>
        <v>0</v>
      </c>
      <c r="G456" s="56">
        <f>G457</f>
        <v>0</v>
      </c>
      <c r="H456" s="56"/>
      <c r="I456" s="130"/>
    </row>
    <row r="457" spans="1:9" ht="48" customHeight="1" hidden="1">
      <c r="A457" s="23" t="s">
        <v>211</v>
      </c>
      <c r="B457" s="11" t="s">
        <v>380</v>
      </c>
      <c r="C457" s="11" t="s">
        <v>380</v>
      </c>
      <c r="D457" s="11" t="s">
        <v>693</v>
      </c>
      <c r="E457" s="11" t="s">
        <v>212</v>
      </c>
      <c r="F457" s="56">
        <f t="shared" si="14"/>
        <v>0</v>
      </c>
      <c r="G457" s="56">
        <f>G458</f>
        <v>0</v>
      </c>
      <c r="H457" s="56"/>
      <c r="I457" s="130"/>
    </row>
    <row r="458" spans="1:9" ht="23.25" customHeight="1" hidden="1">
      <c r="A458" s="23" t="s">
        <v>213</v>
      </c>
      <c r="B458" s="11" t="s">
        <v>380</v>
      </c>
      <c r="C458" s="11" t="s">
        <v>380</v>
      </c>
      <c r="D458" s="11" t="s">
        <v>693</v>
      </c>
      <c r="E458" s="11" t="s">
        <v>279</v>
      </c>
      <c r="F458" s="56">
        <f t="shared" si="14"/>
        <v>0</v>
      </c>
      <c r="G458" s="56">
        <v>0</v>
      </c>
      <c r="H458" s="56"/>
      <c r="I458" s="130"/>
    </row>
    <row r="459" spans="1:9" ht="66" customHeight="1" hidden="1">
      <c r="A459" s="23" t="s">
        <v>787</v>
      </c>
      <c r="B459" s="11" t="s">
        <v>380</v>
      </c>
      <c r="C459" s="11" t="s">
        <v>380</v>
      </c>
      <c r="D459" s="11" t="s">
        <v>786</v>
      </c>
      <c r="E459" s="11" t="s">
        <v>398</v>
      </c>
      <c r="F459" s="56">
        <f>G459</f>
        <v>0</v>
      </c>
      <c r="G459" s="56">
        <f>G460</f>
        <v>0</v>
      </c>
      <c r="H459" s="56"/>
      <c r="I459" s="130"/>
    </row>
    <row r="460" spans="1:9" ht="23.25" customHeight="1" hidden="1">
      <c r="A460" s="44" t="s">
        <v>211</v>
      </c>
      <c r="B460" s="11" t="s">
        <v>380</v>
      </c>
      <c r="C460" s="11" t="s">
        <v>380</v>
      </c>
      <c r="D460" s="11" t="s">
        <v>786</v>
      </c>
      <c r="E460" s="11" t="s">
        <v>212</v>
      </c>
      <c r="F460" s="56">
        <f>G460</f>
        <v>0</v>
      </c>
      <c r="G460" s="56">
        <f>G461</f>
        <v>0</v>
      </c>
      <c r="H460" s="56"/>
      <c r="I460" s="130"/>
    </row>
    <row r="461" spans="1:9" ht="23.25" customHeight="1" hidden="1">
      <c r="A461" s="44" t="s">
        <v>213</v>
      </c>
      <c r="B461" s="11" t="s">
        <v>380</v>
      </c>
      <c r="C461" s="11" t="s">
        <v>380</v>
      </c>
      <c r="D461" s="11" t="s">
        <v>786</v>
      </c>
      <c r="E461" s="11" t="s">
        <v>279</v>
      </c>
      <c r="F461" s="56">
        <f>G461</f>
        <v>0</v>
      </c>
      <c r="G461" s="56">
        <v>0</v>
      </c>
      <c r="H461" s="56"/>
      <c r="I461" s="130"/>
    </row>
    <row r="462" spans="1:10" s="125" customFormat="1" ht="18" customHeight="1">
      <c r="A462" s="27" t="s">
        <v>357</v>
      </c>
      <c r="B462" s="24" t="s">
        <v>380</v>
      </c>
      <c r="C462" s="24" t="s">
        <v>365</v>
      </c>
      <c r="D462" s="24" t="s">
        <v>311</v>
      </c>
      <c r="E462" s="24" t="s">
        <v>398</v>
      </c>
      <c r="F462" s="57">
        <f aca="true" t="shared" si="15" ref="F462:F469">G462+H462</f>
        <v>54782.22926000001</v>
      </c>
      <c r="G462" s="57">
        <f>G463+G477+G480+G487+G493+G505+G498+G502</f>
        <v>52832.01026000001</v>
      </c>
      <c r="H462" s="57">
        <f>H480+H487+H505</f>
        <v>1950.219</v>
      </c>
      <c r="J462" s="131"/>
    </row>
    <row r="463" spans="1:8" ht="33.75" customHeight="1">
      <c r="A463" s="28" t="s">
        <v>254</v>
      </c>
      <c r="B463" s="11" t="s">
        <v>380</v>
      </c>
      <c r="C463" s="11" t="s">
        <v>365</v>
      </c>
      <c r="D463" s="11" t="s">
        <v>72</v>
      </c>
      <c r="E463" s="11" t="s">
        <v>398</v>
      </c>
      <c r="F463" s="56">
        <f t="shared" si="15"/>
        <v>47444.054260000004</v>
      </c>
      <c r="G463" s="56">
        <f>G464+G472</f>
        <v>47444.054260000004</v>
      </c>
      <c r="H463" s="56">
        <f>H464</f>
        <v>0</v>
      </c>
    </row>
    <row r="464" spans="1:8" ht="50.25" customHeight="1">
      <c r="A464" s="23" t="s">
        <v>74</v>
      </c>
      <c r="B464" s="11" t="s">
        <v>380</v>
      </c>
      <c r="C464" s="11" t="s">
        <v>365</v>
      </c>
      <c r="D464" s="11" t="s">
        <v>73</v>
      </c>
      <c r="E464" s="11" t="s">
        <v>398</v>
      </c>
      <c r="F464" s="56">
        <f t="shared" si="15"/>
        <v>45490.61417</v>
      </c>
      <c r="G464" s="56">
        <f>G465+G467+G469</f>
        <v>45490.61417</v>
      </c>
      <c r="H464" s="56">
        <f>SUM(H465:H471)</f>
        <v>0</v>
      </c>
    </row>
    <row r="465" spans="1:8" ht="95.25" customHeight="1">
      <c r="A465" s="23" t="s">
        <v>185</v>
      </c>
      <c r="B465" s="11" t="s">
        <v>380</v>
      </c>
      <c r="C465" s="11" t="s">
        <v>365</v>
      </c>
      <c r="D465" s="11" t="s">
        <v>73</v>
      </c>
      <c r="E465" s="11" t="s">
        <v>154</v>
      </c>
      <c r="F465" s="56">
        <f t="shared" si="15"/>
        <v>38384.65758</v>
      </c>
      <c r="G465" s="56">
        <f>G466</f>
        <v>38384.65758</v>
      </c>
      <c r="H465" s="56"/>
    </row>
    <row r="466" spans="1:10" ht="32.25" customHeight="1">
      <c r="A466" s="23" t="s">
        <v>201</v>
      </c>
      <c r="B466" s="11" t="s">
        <v>380</v>
      </c>
      <c r="C466" s="11" t="s">
        <v>365</v>
      </c>
      <c r="D466" s="11" t="s">
        <v>73</v>
      </c>
      <c r="E466" s="11" t="s">
        <v>161</v>
      </c>
      <c r="F466" s="56">
        <f t="shared" si="15"/>
        <v>38384.65758</v>
      </c>
      <c r="G466" s="56">
        <f>37435.178+500+150+289.47958+10</f>
        <v>38384.65758</v>
      </c>
      <c r="H466" s="101"/>
      <c r="I466" s="126"/>
      <c r="J466" s="126"/>
    </row>
    <row r="467" spans="1:9" ht="33" customHeight="1">
      <c r="A467" s="23" t="s">
        <v>188</v>
      </c>
      <c r="B467" s="11" t="s">
        <v>380</v>
      </c>
      <c r="C467" s="11" t="s">
        <v>365</v>
      </c>
      <c r="D467" s="11" t="s">
        <v>73</v>
      </c>
      <c r="E467" s="11" t="s">
        <v>158</v>
      </c>
      <c r="F467" s="56">
        <f t="shared" si="15"/>
        <v>7089.28475</v>
      </c>
      <c r="G467" s="56">
        <f>G468</f>
        <v>7089.28475</v>
      </c>
      <c r="H467" s="101"/>
      <c r="I467" s="126"/>
    </row>
    <row r="468" spans="1:9" ht="48.75" customHeight="1">
      <c r="A468" s="44" t="s">
        <v>189</v>
      </c>
      <c r="B468" s="11" t="s">
        <v>380</v>
      </c>
      <c r="C468" s="11" t="s">
        <v>365</v>
      </c>
      <c r="D468" s="11" t="s">
        <v>73</v>
      </c>
      <c r="E468" s="11" t="s">
        <v>190</v>
      </c>
      <c r="F468" s="56">
        <f t="shared" si="15"/>
        <v>7089.28475</v>
      </c>
      <c r="G468" s="56">
        <f>7363.647-300-95.044-312.224+663.39-230.48425</f>
        <v>7089.28475</v>
      </c>
      <c r="H468" s="56"/>
      <c r="I468" s="126"/>
    </row>
    <row r="469" spans="1:8" ht="19.5" customHeight="1">
      <c r="A469" s="23" t="s">
        <v>193</v>
      </c>
      <c r="B469" s="11" t="s">
        <v>380</v>
      </c>
      <c r="C469" s="11" t="s">
        <v>365</v>
      </c>
      <c r="D469" s="11" t="s">
        <v>73</v>
      </c>
      <c r="E469" s="11" t="s">
        <v>194</v>
      </c>
      <c r="F469" s="56">
        <f t="shared" si="15"/>
        <v>16.67184</v>
      </c>
      <c r="G469" s="56">
        <f>G470+G471</f>
        <v>16.67184</v>
      </c>
      <c r="H469" s="56"/>
    </row>
    <row r="470" spans="1:8" ht="19.5" customHeight="1" hidden="1">
      <c r="A470" s="23" t="s">
        <v>197</v>
      </c>
      <c r="B470" s="11" t="s">
        <v>380</v>
      </c>
      <c r="C470" s="11" t="s">
        <v>365</v>
      </c>
      <c r="D470" s="11" t="s">
        <v>73</v>
      </c>
      <c r="E470" s="11" t="s">
        <v>198</v>
      </c>
      <c r="F470" s="56">
        <f>G470</f>
        <v>0</v>
      </c>
      <c r="G470" s="56"/>
      <c r="H470" s="56"/>
    </row>
    <row r="471" spans="1:8" ht="19.5" customHeight="1">
      <c r="A471" s="23" t="s">
        <v>191</v>
      </c>
      <c r="B471" s="11" t="s">
        <v>380</v>
      </c>
      <c r="C471" s="11" t="s">
        <v>365</v>
      </c>
      <c r="D471" s="11" t="s">
        <v>73</v>
      </c>
      <c r="E471" s="11" t="s">
        <v>192</v>
      </c>
      <c r="F471" s="56">
        <f>G471+H471</f>
        <v>16.67184</v>
      </c>
      <c r="G471" s="56">
        <f>24.6-15.72816+7.8</f>
        <v>16.67184</v>
      </c>
      <c r="H471" s="56"/>
    </row>
    <row r="472" spans="1:8" ht="69" customHeight="1">
      <c r="A472" s="28" t="s">
        <v>516</v>
      </c>
      <c r="B472" s="11" t="s">
        <v>380</v>
      </c>
      <c r="C472" s="11" t="s">
        <v>365</v>
      </c>
      <c r="D472" s="11" t="s">
        <v>73</v>
      </c>
      <c r="E472" s="11" t="s">
        <v>398</v>
      </c>
      <c r="F472" s="56">
        <f>G472</f>
        <v>1953.44009</v>
      </c>
      <c r="G472" s="56">
        <f>G473+G475</f>
        <v>1953.44009</v>
      </c>
      <c r="H472" s="129"/>
    </row>
    <row r="473" spans="1:8" ht="93.75" customHeight="1">
      <c r="A473" s="23" t="s">
        <v>185</v>
      </c>
      <c r="B473" s="11" t="s">
        <v>380</v>
      </c>
      <c r="C473" s="11" t="s">
        <v>365</v>
      </c>
      <c r="D473" s="11" t="s">
        <v>73</v>
      </c>
      <c r="E473" s="11" t="s">
        <v>154</v>
      </c>
      <c r="F473" s="56">
        <f>G473</f>
        <v>1953.44009</v>
      </c>
      <c r="G473" s="56">
        <f>G474</f>
        <v>1953.44009</v>
      </c>
      <c r="H473" s="129"/>
    </row>
    <row r="474" spans="1:8" ht="33" customHeight="1">
      <c r="A474" s="23" t="s">
        <v>201</v>
      </c>
      <c r="B474" s="11" t="s">
        <v>380</v>
      </c>
      <c r="C474" s="11" t="s">
        <v>365</v>
      </c>
      <c r="D474" s="11" t="s">
        <v>73</v>
      </c>
      <c r="E474" s="11" t="s">
        <v>161</v>
      </c>
      <c r="F474" s="56">
        <f>G474</f>
        <v>1953.44009</v>
      </c>
      <c r="G474" s="56">
        <f>975.2+766.189+277.646+83.851-114.03218-35.41373</f>
        <v>1953.44009</v>
      </c>
      <c r="H474" s="129"/>
    </row>
    <row r="475" spans="1:8" ht="33.75" customHeight="1" hidden="1">
      <c r="A475" s="23" t="s">
        <v>188</v>
      </c>
      <c r="B475" s="11" t="s">
        <v>380</v>
      </c>
      <c r="C475" s="11" t="s">
        <v>365</v>
      </c>
      <c r="D475" s="11" t="s">
        <v>73</v>
      </c>
      <c r="E475" s="11" t="s">
        <v>158</v>
      </c>
      <c r="F475" s="56">
        <f>G475</f>
        <v>0</v>
      </c>
      <c r="G475" s="56">
        <f>G476</f>
        <v>0</v>
      </c>
      <c r="H475" s="129"/>
    </row>
    <row r="476" spans="1:8" ht="47.25" customHeight="1" hidden="1">
      <c r="A476" s="44" t="s">
        <v>189</v>
      </c>
      <c r="B476" s="11" t="s">
        <v>380</v>
      </c>
      <c r="C476" s="11" t="s">
        <v>365</v>
      </c>
      <c r="D476" s="11" t="s">
        <v>73</v>
      </c>
      <c r="E476" s="11" t="s">
        <v>190</v>
      </c>
      <c r="F476" s="56">
        <f>G476</f>
        <v>0</v>
      </c>
      <c r="G476" s="56">
        <f>30-30</f>
        <v>0</v>
      </c>
      <c r="H476" s="129"/>
    </row>
    <row r="477" spans="1:8" ht="33.75" customHeight="1">
      <c r="A477" s="28" t="s">
        <v>37</v>
      </c>
      <c r="B477" s="11" t="s">
        <v>380</v>
      </c>
      <c r="C477" s="11" t="s">
        <v>365</v>
      </c>
      <c r="D477" s="4" t="s">
        <v>36</v>
      </c>
      <c r="E477" s="11" t="s">
        <v>398</v>
      </c>
      <c r="F477" s="56">
        <f aca="true" t="shared" si="16" ref="F477:F490">G477+H477</f>
        <v>111</v>
      </c>
      <c r="G477" s="56">
        <f>G478</f>
        <v>111</v>
      </c>
      <c r="H477" s="102"/>
    </row>
    <row r="478" spans="1:8" ht="33" customHeight="1">
      <c r="A478" s="23" t="s">
        <v>188</v>
      </c>
      <c r="B478" s="11" t="s">
        <v>380</v>
      </c>
      <c r="C478" s="11" t="s">
        <v>365</v>
      </c>
      <c r="D478" s="4" t="s">
        <v>39</v>
      </c>
      <c r="E478" s="11" t="s">
        <v>158</v>
      </c>
      <c r="F478" s="56">
        <f t="shared" si="16"/>
        <v>111</v>
      </c>
      <c r="G478" s="56">
        <f>G479</f>
        <v>111</v>
      </c>
      <c r="H478" s="56"/>
    </row>
    <row r="479" spans="1:8" ht="51" customHeight="1">
      <c r="A479" s="44" t="s">
        <v>189</v>
      </c>
      <c r="B479" s="11" t="s">
        <v>380</v>
      </c>
      <c r="C479" s="11" t="s">
        <v>365</v>
      </c>
      <c r="D479" s="4" t="s">
        <v>39</v>
      </c>
      <c r="E479" s="11" t="s">
        <v>190</v>
      </c>
      <c r="F479" s="56">
        <f t="shared" si="16"/>
        <v>111</v>
      </c>
      <c r="G479" s="111">
        <v>111</v>
      </c>
      <c r="H479" s="56"/>
    </row>
    <row r="480" spans="1:8" s="125" customFormat="1" ht="63" customHeight="1">
      <c r="A480" s="27" t="s">
        <v>454</v>
      </c>
      <c r="B480" s="24" t="s">
        <v>380</v>
      </c>
      <c r="C480" s="24" t="s">
        <v>365</v>
      </c>
      <c r="D480" s="24" t="s">
        <v>75</v>
      </c>
      <c r="E480" s="24" t="s">
        <v>398</v>
      </c>
      <c r="F480" s="57">
        <f t="shared" si="16"/>
        <v>887.05</v>
      </c>
      <c r="G480" s="57">
        <f>G481+G484</f>
        <v>887.05</v>
      </c>
      <c r="H480" s="57">
        <f>H481</f>
        <v>0</v>
      </c>
    </row>
    <row r="481" spans="1:8" ht="18" customHeight="1">
      <c r="A481" s="23" t="s">
        <v>390</v>
      </c>
      <c r="B481" s="11" t="s">
        <v>380</v>
      </c>
      <c r="C481" s="11" t="s">
        <v>365</v>
      </c>
      <c r="D481" s="11" t="s">
        <v>76</v>
      </c>
      <c r="E481" s="11" t="s">
        <v>398</v>
      </c>
      <c r="F481" s="56">
        <f t="shared" si="16"/>
        <v>538.9</v>
      </c>
      <c r="G481" s="56">
        <f>G482</f>
        <v>538.9</v>
      </c>
      <c r="H481" s="56"/>
    </row>
    <row r="482" spans="1:8" ht="37.5" customHeight="1">
      <c r="A482" s="23" t="s">
        <v>188</v>
      </c>
      <c r="B482" s="11" t="s">
        <v>380</v>
      </c>
      <c r="C482" s="11" t="s">
        <v>365</v>
      </c>
      <c r="D482" s="11" t="s">
        <v>77</v>
      </c>
      <c r="E482" s="11" t="s">
        <v>158</v>
      </c>
      <c r="F482" s="56">
        <f t="shared" si="16"/>
        <v>538.9</v>
      </c>
      <c r="G482" s="56">
        <f>G483</f>
        <v>538.9</v>
      </c>
      <c r="H482" s="56"/>
    </row>
    <row r="483" spans="1:8" ht="50.25" customHeight="1">
      <c r="A483" s="44" t="s">
        <v>189</v>
      </c>
      <c r="B483" s="11" t="s">
        <v>380</v>
      </c>
      <c r="C483" s="11" t="s">
        <v>365</v>
      </c>
      <c r="D483" s="11" t="s">
        <v>77</v>
      </c>
      <c r="E483" s="11" t="s">
        <v>190</v>
      </c>
      <c r="F483" s="56">
        <f t="shared" si="16"/>
        <v>538.9</v>
      </c>
      <c r="G483" s="56">
        <f>320+3+18+150+47.9</f>
        <v>538.9</v>
      </c>
      <c r="H483" s="56"/>
    </row>
    <row r="484" spans="1:8" ht="33" customHeight="1">
      <c r="A484" s="23" t="s">
        <v>135</v>
      </c>
      <c r="B484" s="11" t="s">
        <v>380</v>
      </c>
      <c r="C484" s="11" t="s">
        <v>365</v>
      </c>
      <c r="D484" s="11" t="s">
        <v>78</v>
      </c>
      <c r="E484" s="11" t="s">
        <v>398</v>
      </c>
      <c r="F484" s="56">
        <f t="shared" si="16"/>
        <v>348.15</v>
      </c>
      <c r="G484" s="56">
        <f>G485</f>
        <v>348.15</v>
      </c>
      <c r="H484" s="56"/>
    </row>
    <row r="485" spans="1:8" ht="49.5" customHeight="1">
      <c r="A485" s="23" t="s">
        <v>211</v>
      </c>
      <c r="B485" s="11" t="s">
        <v>380</v>
      </c>
      <c r="C485" s="11" t="s">
        <v>365</v>
      </c>
      <c r="D485" s="11" t="s">
        <v>78</v>
      </c>
      <c r="E485" s="11" t="s">
        <v>212</v>
      </c>
      <c r="F485" s="56">
        <f t="shared" si="16"/>
        <v>348.15</v>
      </c>
      <c r="G485" s="56">
        <f>G486</f>
        <v>348.15</v>
      </c>
      <c r="H485" s="56"/>
    </row>
    <row r="486" spans="1:8" ht="16.5" customHeight="1">
      <c r="A486" s="23" t="s">
        <v>213</v>
      </c>
      <c r="B486" s="11" t="s">
        <v>380</v>
      </c>
      <c r="C486" s="11" t="s">
        <v>365</v>
      </c>
      <c r="D486" s="11" t="s">
        <v>78</v>
      </c>
      <c r="E486" s="11" t="s">
        <v>279</v>
      </c>
      <c r="F486" s="56">
        <f t="shared" si="16"/>
        <v>348.15</v>
      </c>
      <c r="G486" s="56">
        <f>280+68.15</f>
        <v>348.15</v>
      </c>
      <c r="H486" s="56"/>
    </row>
    <row r="487" spans="1:8" s="125" customFormat="1" ht="64.5" customHeight="1">
      <c r="A487" s="27" t="s">
        <v>467</v>
      </c>
      <c r="B487" s="24" t="s">
        <v>380</v>
      </c>
      <c r="C487" s="24" t="s">
        <v>365</v>
      </c>
      <c r="D487" s="24" t="s">
        <v>42</v>
      </c>
      <c r="E487" s="24" t="s">
        <v>398</v>
      </c>
      <c r="F487" s="57">
        <f t="shared" si="16"/>
        <v>711</v>
      </c>
      <c r="G487" s="57">
        <f>G488</f>
        <v>711</v>
      </c>
      <c r="H487" s="57">
        <f>H488</f>
        <v>0</v>
      </c>
    </row>
    <row r="488" spans="1:8" ht="19.5" customHeight="1">
      <c r="A488" s="23" t="s">
        <v>390</v>
      </c>
      <c r="B488" s="11" t="s">
        <v>380</v>
      </c>
      <c r="C488" s="11" t="s">
        <v>365</v>
      </c>
      <c r="D488" s="11" t="s">
        <v>43</v>
      </c>
      <c r="E488" s="11" t="s">
        <v>398</v>
      </c>
      <c r="F488" s="56">
        <f t="shared" si="16"/>
        <v>711</v>
      </c>
      <c r="G488" s="56">
        <f>G489+G491</f>
        <v>711</v>
      </c>
      <c r="H488" s="56">
        <f>H489</f>
        <v>0</v>
      </c>
    </row>
    <row r="489" spans="1:8" ht="38.25" customHeight="1">
      <c r="A489" s="23" t="s">
        <v>188</v>
      </c>
      <c r="B489" s="11" t="s">
        <v>380</v>
      </c>
      <c r="C489" s="11" t="s">
        <v>365</v>
      </c>
      <c r="D489" s="11" t="s">
        <v>79</v>
      </c>
      <c r="E489" s="11" t="s">
        <v>158</v>
      </c>
      <c r="F489" s="56">
        <f t="shared" si="16"/>
        <v>10</v>
      </c>
      <c r="G489" s="56">
        <f>G490</f>
        <v>10</v>
      </c>
      <c r="H489" s="56"/>
    </row>
    <row r="490" spans="1:8" ht="48.75" customHeight="1">
      <c r="A490" s="44" t="s">
        <v>189</v>
      </c>
      <c r="B490" s="11" t="s">
        <v>380</v>
      </c>
      <c r="C490" s="11" t="s">
        <v>365</v>
      </c>
      <c r="D490" s="11" t="s">
        <v>79</v>
      </c>
      <c r="E490" s="11" t="s">
        <v>190</v>
      </c>
      <c r="F490" s="56">
        <f t="shared" si="16"/>
        <v>10</v>
      </c>
      <c r="G490" s="56">
        <v>10</v>
      </c>
      <c r="H490" s="56"/>
    </row>
    <row r="491" spans="1:8" ht="48.75" customHeight="1">
      <c r="A491" s="23" t="s">
        <v>211</v>
      </c>
      <c r="B491" s="11" t="s">
        <v>380</v>
      </c>
      <c r="C491" s="11" t="s">
        <v>365</v>
      </c>
      <c r="D491" s="11" t="s">
        <v>79</v>
      </c>
      <c r="E491" s="11" t="s">
        <v>212</v>
      </c>
      <c r="F491" s="56">
        <f>G491</f>
        <v>701</v>
      </c>
      <c r="G491" s="56">
        <f>G492</f>
        <v>701</v>
      </c>
      <c r="H491" s="56"/>
    </row>
    <row r="492" spans="1:8" ht="20.25" customHeight="1">
      <c r="A492" s="23" t="s">
        <v>213</v>
      </c>
      <c r="B492" s="11" t="s">
        <v>380</v>
      </c>
      <c r="C492" s="11" t="s">
        <v>365</v>
      </c>
      <c r="D492" s="11" t="s">
        <v>79</v>
      </c>
      <c r="E492" s="11" t="s">
        <v>279</v>
      </c>
      <c r="F492" s="56">
        <f>G492</f>
        <v>701</v>
      </c>
      <c r="G492" s="56">
        <f>50+120+135-10+406</f>
        <v>701</v>
      </c>
      <c r="H492" s="56"/>
    </row>
    <row r="493" spans="1:8" ht="78" customHeight="1">
      <c r="A493" s="39" t="s">
        <v>505</v>
      </c>
      <c r="B493" s="24" t="s">
        <v>380</v>
      </c>
      <c r="C493" s="24" t="s">
        <v>365</v>
      </c>
      <c r="D493" s="24" t="s">
        <v>503</v>
      </c>
      <c r="E493" s="24" t="s">
        <v>398</v>
      </c>
      <c r="F493" s="57">
        <f aca="true" t="shared" si="17" ref="F493:F501">G493</f>
        <v>560</v>
      </c>
      <c r="G493" s="57">
        <f>G494+G496</f>
        <v>560</v>
      </c>
      <c r="H493" s="57"/>
    </row>
    <row r="494" spans="1:8" ht="39" customHeight="1">
      <c r="A494" s="23" t="s">
        <v>188</v>
      </c>
      <c r="B494" s="11" t="s">
        <v>380</v>
      </c>
      <c r="C494" s="11" t="s">
        <v>365</v>
      </c>
      <c r="D494" s="11" t="s">
        <v>785</v>
      </c>
      <c r="E494" s="11" t="s">
        <v>158</v>
      </c>
      <c r="F494" s="56">
        <f>G494</f>
        <v>293.1</v>
      </c>
      <c r="G494" s="56">
        <f>G495</f>
        <v>293.1</v>
      </c>
      <c r="H494" s="56"/>
    </row>
    <row r="495" spans="1:8" ht="53.25" customHeight="1">
      <c r="A495" s="44" t="s">
        <v>189</v>
      </c>
      <c r="B495" s="11" t="s">
        <v>380</v>
      </c>
      <c r="C495" s="11" t="s">
        <v>365</v>
      </c>
      <c r="D495" s="11" t="s">
        <v>785</v>
      </c>
      <c r="E495" s="11" t="s">
        <v>190</v>
      </c>
      <c r="F495" s="56">
        <f>G495</f>
        <v>293.1</v>
      </c>
      <c r="G495" s="56">
        <f>270+23.1</f>
        <v>293.1</v>
      </c>
      <c r="H495" s="56"/>
    </row>
    <row r="496" spans="1:8" ht="46.5" customHeight="1">
      <c r="A496" s="23" t="s">
        <v>211</v>
      </c>
      <c r="B496" s="11" t="s">
        <v>380</v>
      </c>
      <c r="C496" s="11" t="s">
        <v>365</v>
      </c>
      <c r="D496" s="11" t="s">
        <v>504</v>
      </c>
      <c r="E496" s="11" t="s">
        <v>212</v>
      </c>
      <c r="F496" s="56">
        <f t="shared" si="17"/>
        <v>266.9</v>
      </c>
      <c r="G496" s="56">
        <f>G497</f>
        <v>266.9</v>
      </c>
      <c r="H496" s="56"/>
    </row>
    <row r="497" spans="1:8" ht="18" customHeight="1">
      <c r="A497" s="23" t="s">
        <v>213</v>
      </c>
      <c r="B497" s="11" t="s">
        <v>380</v>
      </c>
      <c r="C497" s="11" t="s">
        <v>365</v>
      </c>
      <c r="D497" s="11" t="s">
        <v>504</v>
      </c>
      <c r="E497" s="11" t="s">
        <v>279</v>
      </c>
      <c r="F497" s="56">
        <f t="shared" si="17"/>
        <v>266.9</v>
      </c>
      <c r="G497" s="56">
        <f>60+200+30-23.1</f>
        <v>266.9</v>
      </c>
      <c r="H497" s="56"/>
    </row>
    <row r="498" spans="1:8" ht="51" customHeight="1" hidden="1">
      <c r="A498" s="39" t="s">
        <v>421</v>
      </c>
      <c r="B498" s="11" t="s">
        <v>380</v>
      </c>
      <c r="C498" s="11" t="s">
        <v>365</v>
      </c>
      <c r="D498" s="24" t="s">
        <v>45</v>
      </c>
      <c r="E498" s="24" t="s">
        <v>398</v>
      </c>
      <c r="F498" s="57">
        <f t="shared" si="17"/>
        <v>0</v>
      </c>
      <c r="G498" s="57">
        <f>G499</f>
        <v>0</v>
      </c>
      <c r="H498" s="57"/>
    </row>
    <row r="499" spans="1:8" ht="36.75" customHeight="1" hidden="1">
      <c r="A499" s="44" t="s">
        <v>188</v>
      </c>
      <c r="B499" s="11" t="s">
        <v>380</v>
      </c>
      <c r="C499" s="11" t="s">
        <v>365</v>
      </c>
      <c r="D499" s="11" t="s">
        <v>478</v>
      </c>
      <c r="E499" s="11" t="s">
        <v>158</v>
      </c>
      <c r="F499" s="56">
        <f t="shared" si="17"/>
        <v>0</v>
      </c>
      <c r="G499" s="56">
        <f>G500+G501</f>
        <v>0</v>
      </c>
      <c r="H499" s="56"/>
    </row>
    <row r="500" spans="1:8" ht="64.5" customHeight="1" hidden="1">
      <c r="A500" s="44" t="s">
        <v>581</v>
      </c>
      <c r="B500" s="11" t="s">
        <v>380</v>
      </c>
      <c r="C500" s="11" t="s">
        <v>365</v>
      </c>
      <c r="D500" s="11" t="s">
        <v>507</v>
      </c>
      <c r="E500" s="11" t="s">
        <v>190</v>
      </c>
      <c r="F500" s="56">
        <f t="shared" si="17"/>
        <v>0</v>
      </c>
      <c r="G500" s="56">
        <v>0</v>
      </c>
      <c r="H500" s="56"/>
    </row>
    <row r="501" spans="1:8" ht="48" customHeight="1" hidden="1">
      <c r="A501" s="44" t="s">
        <v>582</v>
      </c>
      <c r="B501" s="11" t="s">
        <v>380</v>
      </c>
      <c r="C501" s="11" t="s">
        <v>365</v>
      </c>
      <c r="D501" s="11" t="s">
        <v>508</v>
      </c>
      <c r="E501" s="11" t="s">
        <v>190</v>
      </c>
      <c r="F501" s="56">
        <f t="shared" si="17"/>
        <v>0</v>
      </c>
      <c r="G501" s="56">
        <v>0</v>
      </c>
      <c r="H501" s="56"/>
    </row>
    <row r="502" spans="1:8" ht="40.5" customHeight="1">
      <c r="A502" s="35" t="s">
        <v>905</v>
      </c>
      <c r="B502" s="51" t="s">
        <v>380</v>
      </c>
      <c r="C502" s="51" t="s">
        <v>365</v>
      </c>
      <c r="D502" s="51" t="s">
        <v>852</v>
      </c>
      <c r="E502" s="51" t="s">
        <v>398</v>
      </c>
      <c r="F502" s="98">
        <f aca="true" t="shared" si="18" ref="F502:F511">G502+H502</f>
        <v>40</v>
      </c>
      <c r="G502" s="98">
        <f>G503</f>
        <v>40</v>
      </c>
      <c r="H502" s="98">
        <f>H503</f>
        <v>0</v>
      </c>
    </row>
    <row r="503" spans="1:8" ht="39" customHeight="1">
      <c r="A503" s="23" t="s">
        <v>188</v>
      </c>
      <c r="B503" s="11" t="s">
        <v>380</v>
      </c>
      <c r="C503" s="11" t="s">
        <v>365</v>
      </c>
      <c r="D503" s="11" t="s">
        <v>851</v>
      </c>
      <c r="E503" s="11" t="s">
        <v>158</v>
      </c>
      <c r="F503" s="56">
        <f t="shared" si="18"/>
        <v>40</v>
      </c>
      <c r="G503" s="56">
        <f>G504</f>
        <v>40</v>
      </c>
      <c r="H503" s="56">
        <f>H504</f>
        <v>0</v>
      </c>
    </row>
    <row r="504" spans="1:8" ht="48" customHeight="1">
      <c r="A504" s="44" t="s">
        <v>189</v>
      </c>
      <c r="B504" s="11" t="s">
        <v>380</v>
      </c>
      <c r="C504" s="11" t="s">
        <v>365</v>
      </c>
      <c r="D504" s="11" t="s">
        <v>854</v>
      </c>
      <c r="E504" s="11" t="s">
        <v>190</v>
      </c>
      <c r="F504" s="56">
        <f t="shared" si="18"/>
        <v>40</v>
      </c>
      <c r="G504" s="56">
        <v>40</v>
      </c>
      <c r="H504" s="56"/>
    </row>
    <row r="505" spans="1:8" ht="36" customHeight="1">
      <c r="A505" s="23" t="s">
        <v>152</v>
      </c>
      <c r="B505" s="11" t="s">
        <v>380</v>
      </c>
      <c r="C505" s="11" t="s">
        <v>365</v>
      </c>
      <c r="D505" s="11" t="s">
        <v>17</v>
      </c>
      <c r="E505" s="11" t="s">
        <v>398</v>
      </c>
      <c r="F505" s="56">
        <f t="shared" si="18"/>
        <v>5029.125</v>
      </c>
      <c r="G505" s="56">
        <f>G506+G512</f>
        <v>3078.906</v>
      </c>
      <c r="H505" s="56">
        <f>H506</f>
        <v>1950.219</v>
      </c>
    </row>
    <row r="506" spans="1:8" ht="45.75" customHeight="1">
      <c r="A506" s="23" t="s">
        <v>153</v>
      </c>
      <c r="B506" s="11" t="s">
        <v>380</v>
      </c>
      <c r="C506" s="11" t="s">
        <v>365</v>
      </c>
      <c r="D506" s="11" t="s">
        <v>18</v>
      </c>
      <c r="E506" s="11" t="s">
        <v>398</v>
      </c>
      <c r="F506" s="56">
        <f t="shared" si="18"/>
        <v>4897.007</v>
      </c>
      <c r="G506" s="56">
        <f>G507</f>
        <v>2946.788</v>
      </c>
      <c r="H506" s="56">
        <f>H507+H517</f>
        <v>1950.219</v>
      </c>
    </row>
    <row r="507" spans="1:10" ht="51" customHeight="1">
      <c r="A507" s="23" t="s">
        <v>157</v>
      </c>
      <c r="B507" s="11" t="s">
        <v>380</v>
      </c>
      <c r="C507" s="11" t="s">
        <v>365</v>
      </c>
      <c r="D507" s="11" t="s">
        <v>21</v>
      </c>
      <c r="E507" s="11" t="s">
        <v>398</v>
      </c>
      <c r="F507" s="56">
        <f t="shared" si="18"/>
        <v>2946.788</v>
      </c>
      <c r="G507" s="56">
        <f>G508+G510</f>
        <v>2946.788</v>
      </c>
      <c r="H507" s="56">
        <f>SUM(H508:H511)</f>
        <v>0</v>
      </c>
      <c r="J507" s="126"/>
    </row>
    <row r="508" spans="1:8" ht="95.25" customHeight="1">
      <c r="A508" s="23" t="s">
        <v>185</v>
      </c>
      <c r="B508" s="11" t="s">
        <v>380</v>
      </c>
      <c r="C508" s="11" t="s">
        <v>365</v>
      </c>
      <c r="D508" s="11" t="s">
        <v>21</v>
      </c>
      <c r="E508" s="11" t="s">
        <v>154</v>
      </c>
      <c r="F508" s="56">
        <f t="shared" si="18"/>
        <v>2837.6845</v>
      </c>
      <c r="G508" s="56">
        <f>G509</f>
        <v>2837.6845</v>
      </c>
      <c r="H508" s="56"/>
    </row>
    <row r="509" spans="1:8" ht="35.25" customHeight="1">
      <c r="A509" s="23" t="s">
        <v>187</v>
      </c>
      <c r="B509" s="11" t="s">
        <v>380</v>
      </c>
      <c r="C509" s="11" t="s">
        <v>365</v>
      </c>
      <c r="D509" s="11" t="s">
        <v>21</v>
      </c>
      <c r="E509" s="11" t="s">
        <v>186</v>
      </c>
      <c r="F509" s="56">
        <f t="shared" si="18"/>
        <v>2837.6845</v>
      </c>
      <c r="G509" s="111">
        <f>2645.7+64+799-35.6155+33.1+10-13.5-500-150-15</f>
        <v>2837.6845</v>
      </c>
      <c r="H509" s="56"/>
    </row>
    <row r="510" spans="1:8" ht="34.5" customHeight="1">
      <c r="A510" s="23" t="s">
        <v>188</v>
      </c>
      <c r="B510" s="11" t="s">
        <v>380</v>
      </c>
      <c r="C510" s="11" t="s">
        <v>365</v>
      </c>
      <c r="D510" s="11" t="s">
        <v>21</v>
      </c>
      <c r="E510" s="11" t="s">
        <v>158</v>
      </c>
      <c r="F510" s="56">
        <f t="shared" si="18"/>
        <v>109.1035</v>
      </c>
      <c r="G510" s="56">
        <f>G511</f>
        <v>109.1035</v>
      </c>
      <c r="H510" s="56"/>
    </row>
    <row r="511" spans="1:8" ht="46.5" customHeight="1">
      <c r="A511" s="44" t="s">
        <v>189</v>
      </c>
      <c r="B511" s="11" t="s">
        <v>380</v>
      </c>
      <c r="C511" s="11" t="s">
        <v>365</v>
      </c>
      <c r="D511" s="11" t="s">
        <v>21</v>
      </c>
      <c r="E511" s="11" t="s">
        <v>190</v>
      </c>
      <c r="F511" s="56">
        <f t="shared" si="18"/>
        <v>109.1035</v>
      </c>
      <c r="G511" s="111">
        <f>73.488+35.6155</f>
        <v>109.1035</v>
      </c>
      <c r="H511" s="56"/>
    </row>
    <row r="512" spans="1:8" ht="18.75" customHeight="1">
      <c r="A512" s="55" t="s">
        <v>782</v>
      </c>
      <c r="B512" s="16" t="s">
        <v>380</v>
      </c>
      <c r="C512" s="16" t="s">
        <v>365</v>
      </c>
      <c r="D512" s="16" t="s">
        <v>783</v>
      </c>
      <c r="E512" s="16" t="s">
        <v>398</v>
      </c>
      <c r="F512" s="101">
        <f>G512</f>
        <v>132.118</v>
      </c>
      <c r="G512" s="101">
        <f>G513+G515</f>
        <v>132.118</v>
      </c>
      <c r="H512" s="101"/>
    </row>
    <row r="513" spans="1:8" ht="36" customHeight="1">
      <c r="A513" s="23" t="s">
        <v>188</v>
      </c>
      <c r="B513" s="11" t="s">
        <v>380</v>
      </c>
      <c r="C513" s="11" t="s">
        <v>365</v>
      </c>
      <c r="D513" s="11" t="s">
        <v>783</v>
      </c>
      <c r="E513" s="11" t="s">
        <v>158</v>
      </c>
      <c r="F513" s="56">
        <f>G513</f>
        <v>131.81799999999998</v>
      </c>
      <c r="G513" s="111">
        <f>G514</f>
        <v>131.81799999999998</v>
      </c>
      <c r="H513" s="56"/>
    </row>
    <row r="514" spans="1:8" ht="46.5" customHeight="1">
      <c r="A514" s="44" t="s">
        <v>189</v>
      </c>
      <c r="B514" s="11" t="s">
        <v>380</v>
      </c>
      <c r="C514" s="11" t="s">
        <v>365</v>
      </c>
      <c r="D514" s="11" t="s">
        <v>783</v>
      </c>
      <c r="E514" s="11" t="s">
        <v>190</v>
      </c>
      <c r="F514" s="56">
        <f>G514</f>
        <v>131.81799999999998</v>
      </c>
      <c r="G514" s="111">
        <f>72.2+59.918-0.3</f>
        <v>131.81799999999998</v>
      </c>
      <c r="H514" s="56"/>
    </row>
    <row r="515" spans="1:8" ht="21" customHeight="1">
      <c r="A515" s="23" t="s">
        <v>193</v>
      </c>
      <c r="B515" s="11" t="s">
        <v>380</v>
      </c>
      <c r="C515" s="11" t="s">
        <v>365</v>
      </c>
      <c r="D515" s="11" t="s">
        <v>783</v>
      </c>
      <c r="E515" s="11" t="s">
        <v>194</v>
      </c>
      <c r="F515" s="56">
        <f>G515</f>
        <v>0.3</v>
      </c>
      <c r="G515" s="111">
        <f>G516</f>
        <v>0.3</v>
      </c>
      <c r="H515" s="56"/>
    </row>
    <row r="516" spans="1:8" ht="21.75" customHeight="1">
      <c r="A516" s="23" t="s">
        <v>191</v>
      </c>
      <c r="B516" s="11" t="s">
        <v>380</v>
      </c>
      <c r="C516" s="11" t="s">
        <v>365</v>
      </c>
      <c r="D516" s="11" t="s">
        <v>783</v>
      </c>
      <c r="E516" s="11" t="s">
        <v>192</v>
      </c>
      <c r="F516" s="56">
        <f>G516</f>
        <v>0.3</v>
      </c>
      <c r="G516" s="111">
        <f>0.3</f>
        <v>0.3</v>
      </c>
      <c r="H516" s="56"/>
    </row>
    <row r="517" spans="1:10" s="143" customFormat="1" ht="81.75" customHeight="1">
      <c r="A517" s="53" t="s">
        <v>646</v>
      </c>
      <c r="B517" s="51" t="s">
        <v>380</v>
      </c>
      <c r="C517" s="51" t="s">
        <v>365</v>
      </c>
      <c r="D517" s="51" t="s">
        <v>654</v>
      </c>
      <c r="E517" s="51" t="s">
        <v>398</v>
      </c>
      <c r="F517" s="98">
        <f aca="true" t="shared" si="19" ref="F517:F529">G517+H517</f>
        <v>1950.219</v>
      </c>
      <c r="G517" s="98">
        <v>0</v>
      </c>
      <c r="H517" s="98">
        <f>H518+H520</f>
        <v>1950.219</v>
      </c>
      <c r="J517" s="146"/>
    </row>
    <row r="518" spans="1:8" ht="97.5" customHeight="1">
      <c r="A518" s="23" t="s">
        <v>185</v>
      </c>
      <c r="B518" s="11" t="s">
        <v>380</v>
      </c>
      <c r="C518" s="11" t="s">
        <v>365</v>
      </c>
      <c r="D518" s="11" t="s">
        <v>654</v>
      </c>
      <c r="E518" s="11" t="s">
        <v>154</v>
      </c>
      <c r="F518" s="56">
        <f t="shared" si="19"/>
        <v>1402.84427</v>
      </c>
      <c r="G518" s="56"/>
      <c r="H518" s="56">
        <f>H519</f>
        <v>1402.84427</v>
      </c>
    </row>
    <row r="519" spans="1:8" ht="31.5" customHeight="1">
      <c r="A519" s="44" t="s">
        <v>187</v>
      </c>
      <c r="B519" s="11" t="s">
        <v>380</v>
      </c>
      <c r="C519" s="11" t="s">
        <v>365</v>
      </c>
      <c r="D519" s="11" t="s">
        <v>654</v>
      </c>
      <c r="E519" s="11" t="s">
        <v>186</v>
      </c>
      <c r="F519" s="56">
        <f t="shared" si="19"/>
        <v>1402.84427</v>
      </c>
      <c r="G519" s="56"/>
      <c r="H519" s="56">
        <f>1364.541+38.30327</f>
        <v>1402.84427</v>
      </c>
    </row>
    <row r="520" spans="1:8" ht="35.25" customHeight="1">
      <c r="A520" s="23" t="s">
        <v>188</v>
      </c>
      <c r="B520" s="11" t="s">
        <v>380</v>
      </c>
      <c r="C520" s="11" t="s">
        <v>365</v>
      </c>
      <c r="D520" s="11" t="s">
        <v>654</v>
      </c>
      <c r="E520" s="11" t="s">
        <v>158</v>
      </c>
      <c r="F520" s="56">
        <f t="shared" si="19"/>
        <v>547.37473</v>
      </c>
      <c r="G520" s="56"/>
      <c r="H520" s="56">
        <f>H521</f>
        <v>547.37473</v>
      </c>
    </row>
    <row r="521" spans="1:8" ht="48" customHeight="1">
      <c r="A521" s="44" t="s">
        <v>189</v>
      </c>
      <c r="B521" s="11" t="s">
        <v>380</v>
      </c>
      <c r="C521" s="11" t="s">
        <v>365</v>
      </c>
      <c r="D521" s="11" t="s">
        <v>654</v>
      </c>
      <c r="E521" s="11" t="s">
        <v>190</v>
      </c>
      <c r="F521" s="56">
        <f t="shared" si="19"/>
        <v>547.37473</v>
      </c>
      <c r="G521" s="56"/>
      <c r="H521" s="56">
        <f>585.678-38.30327</f>
        <v>547.37473</v>
      </c>
    </row>
    <row r="522" spans="1:10" s="143" customFormat="1" ht="16.5" customHeight="1">
      <c r="A522" s="54" t="s">
        <v>184</v>
      </c>
      <c r="B522" s="16" t="s">
        <v>368</v>
      </c>
      <c r="C522" s="16" t="s">
        <v>150</v>
      </c>
      <c r="D522" s="16" t="s">
        <v>311</v>
      </c>
      <c r="E522" s="16" t="s">
        <v>398</v>
      </c>
      <c r="F522" s="101">
        <f t="shared" si="19"/>
        <v>23516.636420000003</v>
      </c>
      <c r="G522" s="101">
        <f>G523+G571</f>
        <v>17954.30526</v>
      </c>
      <c r="H522" s="101">
        <f>H523+H571</f>
        <v>5562.33116</v>
      </c>
      <c r="I522" s="157"/>
      <c r="J522" s="146"/>
    </row>
    <row r="523" spans="1:8" s="125" customFormat="1" ht="18" customHeight="1">
      <c r="A523" s="27" t="s">
        <v>431</v>
      </c>
      <c r="B523" s="24" t="s">
        <v>368</v>
      </c>
      <c r="C523" s="24" t="s">
        <v>149</v>
      </c>
      <c r="D523" s="24" t="s">
        <v>311</v>
      </c>
      <c r="E523" s="24" t="s">
        <v>398</v>
      </c>
      <c r="F523" s="57">
        <f t="shared" si="19"/>
        <v>21753.35142</v>
      </c>
      <c r="G523" s="57">
        <f>G524</f>
        <v>16191.020260000001</v>
      </c>
      <c r="H523" s="57">
        <f>H524</f>
        <v>5562.33116</v>
      </c>
    </row>
    <row r="524" spans="1:10" s="125" customFormat="1" ht="49.5" customHeight="1">
      <c r="A524" s="27" t="s">
        <v>457</v>
      </c>
      <c r="B524" s="24" t="s">
        <v>368</v>
      </c>
      <c r="C524" s="24" t="s">
        <v>149</v>
      </c>
      <c r="D524" s="24" t="s">
        <v>80</v>
      </c>
      <c r="E524" s="24" t="s">
        <v>398</v>
      </c>
      <c r="F524" s="57">
        <f t="shared" si="19"/>
        <v>21753.35142</v>
      </c>
      <c r="G524" s="57">
        <f>G525+G532+G539+G542+G568+G530+G549+G554+G561</f>
        <v>16191.020260000001</v>
      </c>
      <c r="H524" s="57">
        <f>H525+H532+H539+H542+H568+H530+H549+H554+H561</f>
        <v>5562.33116</v>
      </c>
      <c r="I524" s="131"/>
      <c r="J524" s="154"/>
    </row>
    <row r="525" spans="1:8" ht="69.75" customHeight="1">
      <c r="A525" s="28" t="s">
        <v>512</v>
      </c>
      <c r="B525" s="11" t="s">
        <v>368</v>
      </c>
      <c r="C525" s="11" t="s">
        <v>149</v>
      </c>
      <c r="D525" s="11" t="s">
        <v>81</v>
      </c>
      <c r="E525" s="11" t="s">
        <v>398</v>
      </c>
      <c r="F525" s="56">
        <f t="shared" si="19"/>
        <v>10241.373870000001</v>
      </c>
      <c r="G525" s="56">
        <f>G526+G528</f>
        <v>10241.373870000001</v>
      </c>
      <c r="H525" s="56"/>
    </row>
    <row r="526" spans="1:8" ht="50.25" customHeight="1">
      <c r="A526" s="23" t="s">
        <v>211</v>
      </c>
      <c r="B526" s="11" t="s">
        <v>368</v>
      </c>
      <c r="C526" s="11" t="s">
        <v>149</v>
      </c>
      <c r="D526" s="11" t="s">
        <v>82</v>
      </c>
      <c r="E526" s="11" t="s">
        <v>212</v>
      </c>
      <c r="F526" s="56">
        <f t="shared" si="19"/>
        <v>9161.930960000002</v>
      </c>
      <c r="G526" s="56">
        <f>G527</f>
        <v>9161.930960000002</v>
      </c>
      <c r="H526" s="56"/>
    </row>
    <row r="527" spans="1:8" ht="18" customHeight="1">
      <c r="A527" s="23" t="s">
        <v>213</v>
      </c>
      <c r="B527" s="11" t="s">
        <v>368</v>
      </c>
      <c r="C527" s="11" t="s">
        <v>149</v>
      </c>
      <c r="D527" s="11" t="s">
        <v>83</v>
      </c>
      <c r="E527" s="11" t="s">
        <v>279</v>
      </c>
      <c r="F527" s="56">
        <f t="shared" si="19"/>
        <v>9161.930960000002</v>
      </c>
      <c r="G527" s="56">
        <f>8843.134-30.30303-0.00001+372+184.2-654.1+447</f>
        <v>9161.930960000002</v>
      </c>
      <c r="H527" s="56"/>
    </row>
    <row r="528" spans="1:8" ht="112.5" customHeight="1">
      <c r="A528" s="23" t="s">
        <v>102</v>
      </c>
      <c r="B528" s="11" t="s">
        <v>368</v>
      </c>
      <c r="C528" s="11" t="s">
        <v>149</v>
      </c>
      <c r="D528" s="11" t="s">
        <v>101</v>
      </c>
      <c r="E528" s="11" t="s">
        <v>279</v>
      </c>
      <c r="F528" s="56">
        <f t="shared" si="19"/>
        <v>1079.44291</v>
      </c>
      <c r="G528" s="56">
        <f>G529</f>
        <v>1079.44291</v>
      </c>
      <c r="H528" s="56"/>
    </row>
    <row r="529" spans="1:8" ht="18" customHeight="1">
      <c r="A529" s="23" t="s">
        <v>213</v>
      </c>
      <c r="B529" s="11" t="s">
        <v>368</v>
      </c>
      <c r="C529" s="11" t="s">
        <v>149</v>
      </c>
      <c r="D529" s="11" t="s">
        <v>101</v>
      </c>
      <c r="E529" s="11" t="s">
        <v>279</v>
      </c>
      <c r="F529" s="56">
        <f t="shared" si="19"/>
        <v>1079.44291</v>
      </c>
      <c r="G529" s="56">
        <f>226.8+622.155+130+53.4+5.88791+41.2</f>
        <v>1079.44291</v>
      </c>
      <c r="H529" s="56"/>
    </row>
    <row r="530" spans="1:8" ht="102.75" customHeight="1" hidden="1">
      <c r="A530" s="23" t="s">
        <v>720</v>
      </c>
      <c r="B530" s="11" t="s">
        <v>368</v>
      </c>
      <c r="C530" s="11" t="s">
        <v>149</v>
      </c>
      <c r="D530" s="11" t="s">
        <v>743</v>
      </c>
      <c r="E530" s="11" t="s">
        <v>398</v>
      </c>
      <c r="F530" s="56">
        <f>G530</f>
        <v>0</v>
      </c>
      <c r="G530" s="56">
        <f>G531</f>
        <v>0</v>
      </c>
      <c r="H530" s="56"/>
    </row>
    <row r="531" spans="1:8" ht="21" customHeight="1" hidden="1">
      <c r="A531" s="23" t="s">
        <v>213</v>
      </c>
      <c r="B531" s="11" t="s">
        <v>368</v>
      </c>
      <c r="C531" s="11" t="s">
        <v>149</v>
      </c>
      <c r="D531" s="11" t="s">
        <v>743</v>
      </c>
      <c r="E531" s="11" t="s">
        <v>279</v>
      </c>
      <c r="F531" s="56">
        <f>G531</f>
        <v>0</v>
      </c>
      <c r="G531" s="56">
        <f>25-25</f>
        <v>0</v>
      </c>
      <c r="H531" s="56"/>
    </row>
    <row r="532" spans="1:8" ht="77.25" customHeight="1" hidden="1">
      <c r="A532" s="54" t="s">
        <v>560</v>
      </c>
      <c r="B532" s="16" t="s">
        <v>368</v>
      </c>
      <c r="C532" s="16" t="s">
        <v>149</v>
      </c>
      <c r="D532" s="16" t="s">
        <v>81</v>
      </c>
      <c r="E532" s="16" t="s">
        <v>398</v>
      </c>
      <c r="F532" s="101">
        <f>G532+H532</f>
        <v>0</v>
      </c>
      <c r="G532" s="101">
        <f>G533+G536</f>
        <v>0</v>
      </c>
      <c r="H532" s="101">
        <f>H533</f>
        <v>0</v>
      </c>
    </row>
    <row r="533" spans="1:8" ht="79.5" customHeight="1" hidden="1">
      <c r="A533" s="27" t="s">
        <v>561</v>
      </c>
      <c r="B533" s="24" t="s">
        <v>368</v>
      </c>
      <c r="C533" s="24" t="s">
        <v>149</v>
      </c>
      <c r="D533" s="24" t="s">
        <v>562</v>
      </c>
      <c r="E533" s="24" t="s">
        <v>398</v>
      </c>
      <c r="F533" s="57">
        <f>G533+H533</f>
        <v>0</v>
      </c>
      <c r="G533" s="57">
        <f>G534</f>
        <v>0</v>
      </c>
      <c r="H533" s="57">
        <f>H534</f>
        <v>0</v>
      </c>
    </row>
    <row r="534" spans="1:8" ht="48.75" customHeight="1" hidden="1">
      <c r="A534" s="23" t="s">
        <v>211</v>
      </c>
      <c r="B534" s="11" t="s">
        <v>368</v>
      </c>
      <c r="C534" s="11" t="s">
        <v>149</v>
      </c>
      <c r="D534" s="11" t="s">
        <v>562</v>
      </c>
      <c r="E534" s="11" t="s">
        <v>212</v>
      </c>
      <c r="F534" s="56">
        <f>G534+H534</f>
        <v>0</v>
      </c>
      <c r="G534" s="56">
        <f>G535</f>
        <v>0</v>
      </c>
      <c r="H534" s="56">
        <f>H535</f>
        <v>0</v>
      </c>
    </row>
    <row r="535" spans="1:8" ht="20.25" customHeight="1" hidden="1">
      <c r="A535" s="23" t="s">
        <v>213</v>
      </c>
      <c r="B535" s="11" t="s">
        <v>368</v>
      </c>
      <c r="C535" s="11" t="s">
        <v>149</v>
      </c>
      <c r="D535" s="11" t="s">
        <v>562</v>
      </c>
      <c r="E535" s="11" t="s">
        <v>279</v>
      </c>
      <c r="F535" s="56">
        <f>G535+H535</f>
        <v>0</v>
      </c>
      <c r="G535" s="56"/>
      <c r="H535" s="56">
        <v>0</v>
      </c>
    </row>
    <row r="536" spans="1:8" ht="128.25" customHeight="1" hidden="1">
      <c r="A536" s="27" t="s">
        <v>583</v>
      </c>
      <c r="B536" s="24" t="s">
        <v>368</v>
      </c>
      <c r="C536" s="24" t="s">
        <v>149</v>
      </c>
      <c r="D536" s="24" t="s">
        <v>563</v>
      </c>
      <c r="E536" s="24" t="s">
        <v>398</v>
      </c>
      <c r="F536" s="57">
        <f>G536</f>
        <v>0</v>
      </c>
      <c r="G536" s="57">
        <f>G537</f>
        <v>0</v>
      </c>
      <c r="H536" s="57"/>
    </row>
    <row r="537" spans="1:8" ht="51.75" customHeight="1" hidden="1">
      <c r="A537" s="23" t="s">
        <v>211</v>
      </c>
      <c r="B537" s="11" t="s">
        <v>368</v>
      </c>
      <c r="C537" s="11" t="s">
        <v>149</v>
      </c>
      <c r="D537" s="11" t="s">
        <v>563</v>
      </c>
      <c r="E537" s="11" t="s">
        <v>212</v>
      </c>
      <c r="F537" s="56">
        <f>G537</f>
        <v>0</v>
      </c>
      <c r="G537" s="56">
        <f>G538</f>
        <v>0</v>
      </c>
      <c r="H537" s="56"/>
    </row>
    <row r="538" spans="1:8" ht="23.25" customHeight="1" hidden="1">
      <c r="A538" s="23" t="s">
        <v>213</v>
      </c>
      <c r="B538" s="11" t="s">
        <v>368</v>
      </c>
      <c r="C538" s="11" t="s">
        <v>149</v>
      </c>
      <c r="D538" s="11" t="s">
        <v>563</v>
      </c>
      <c r="E538" s="11" t="s">
        <v>279</v>
      </c>
      <c r="F538" s="56">
        <f>G538</f>
        <v>0</v>
      </c>
      <c r="G538" s="56">
        <v>0</v>
      </c>
      <c r="H538" s="56"/>
    </row>
    <row r="539" spans="1:8" ht="72.75" customHeight="1">
      <c r="A539" s="28" t="s">
        <v>513</v>
      </c>
      <c r="B539" s="11" t="s">
        <v>368</v>
      </c>
      <c r="C539" s="11" t="s">
        <v>149</v>
      </c>
      <c r="D539" s="11" t="s">
        <v>84</v>
      </c>
      <c r="E539" s="11" t="s">
        <v>398</v>
      </c>
      <c r="F539" s="56">
        <f>G539+H539</f>
        <v>3829.87</v>
      </c>
      <c r="G539" s="56">
        <f>G540</f>
        <v>3829.87</v>
      </c>
      <c r="H539" s="56"/>
    </row>
    <row r="540" spans="1:8" ht="48" customHeight="1">
      <c r="A540" s="23" t="s">
        <v>211</v>
      </c>
      <c r="B540" s="11" t="s">
        <v>368</v>
      </c>
      <c r="C540" s="11" t="s">
        <v>149</v>
      </c>
      <c r="D540" s="11" t="s">
        <v>84</v>
      </c>
      <c r="E540" s="11" t="s">
        <v>212</v>
      </c>
      <c r="F540" s="56">
        <f>G540+H540</f>
        <v>3829.87</v>
      </c>
      <c r="G540" s="56">
        <f>G541</f>
        <v>3829.87</v>
      </c>
      <c r="H540" s="56"/>
    </row>
    <row r="541" spans="1:8" ht="18" customHeight="1">
      <c r="A541" s="23" t="s">
        <v>213</v>
      </c>
      <c r="B541" s="11" t="s">
        <v>368</v>
      </c>
      <c r="C541" s="11" t="s">
        <v>149</v>
      </c>
      <c r="D541" s="11" t="s">
        <v>84</v>
      </c>
      <c r="E541" s="11" t="s">
        <v>279</v>
      </c>
      <c r="F541" s="56">
        <f>G541+H541</f>
        <v>3829.87</v>
      </c>
      <c r="G541" s="56">
        <f>2946.87+126.7+306.5+449.8</f>
        <v>3829.87</v>
      </c>
      <c r="H541" s="56"/>
    </row>
    <row r="542" spans="1:8" ht="66.75" customHeight="1" hidden="1">
      <c r="A542" s="54" t="s">
        <v>564</v>
      </c>
      <c r="B542" s="11" t="s">
        <v>368</v>
      </c>
      <c r="C542" s="11" t="s">
        <v>149</v>
      </c>
      <c r="D542" s="16" t="s">
        <v>565</v>
      </c>
      <c r="E542" s="16" t="s">
        <v>398</v>
      </c>
      <c r="F542" s="101">
        <f>G542+H542</f>
        <v>0</v>
      </c>
      <c r="G542" s="101">
        <f>G546</f>
        <v>0</v>
      </c>
      <c r="H542" s="101">
        <f>H543</f>
        <v>0</v>
      </c>
    </row>
    <row r="543" spans="1:8" ht="75" customHeight="1" hidden="1">
      <c r="A543" s="27" t="s">
        <v>584</v>
      </c>
      <c r="B543" s="11" t="s">
        <v>368</v>
      </c>
      <c r="C543" s="11" t="s">
        <v>149</v>
      </c>
      <c r="D543" s="24" t="s">
        <v>566</v>
      </c>
      <c r="E543" s="24" t="s">
        <v>398</v>
      </c>
      <c r="F543" s="57">
        <f>H543</f>
        <v>0</v>
      </c>
      <c r="G543" s="57"/>
      <c r="H543" s="57">
        <f>H544</f>
        <v>0</v>
      </c>
    </row>
    <row r="544" spans="1:8" ht="48.75" customHeight="1" hidden="1">
      <c r="A544" s="23" t="s">
        <v>211</v>
      </c>
      <c r="B544" s="11" t="s">
        <v>368</v>
      </c>
      <c r="C544" s="11" t="s">
        <v>149</v>
      </c>
      <c r="D544" s="11" t="s">
        <v>566</v>
      </c>
      <c r="E544" s="11" t="s">
        <v>212</v>
      </c>
      <c r="F544" s="56">
        <f>H544</f>
        <v>0</v>
      </c>
      <c r="G544" s="56"/>
      <c r="H544" s="56">
        <f>H545</f>
        <v>0</v>
      </c>
    </row>
    <row r="545" spans="1:8" ht="24.75" customHeight="1" hidden="1">
      <c r="A545" s="23" t="s">
        <v>213</v>
      </c>
      <c r="B545" s="11" t="s">
        <v>368</v>
      </c>
      <c r="C545" s="11" t="s">
        <v>149</v>
      </c>
      <c r="D545" s="11" t="s">
        <v>566</v>
      </c>
      <c r="E545" s="11" t="s">
        <v>279</v>
      </c>
      <c r="F545" s="56">
        <f>H545</f>
        <v>0</v>
      </c>
      <c r="G545" s="56"/>
      <c r="H545" s="56">
        <v>0</v>
      </c>
    </row>
    <row r="546" spans="1:8" ht="108" customHeight="1" hidden="1">
      <c r="A546" s="27" t="s">
        <v>585</v>
      </c>
      <c r="B546" s="11" t="s">
        <v>368</v>
      </c>
      <c r="C546" s="11" t="s">
        <v>149</v>
      </c>
      <c r="D546" s="24" t="s">
        <v>567</v>
      </c>
      <c r="E546" s="24" t="s">
        <v>398</v>
      </c>
      <c r="F546" s="57">
        <f>G546</f>
        <v>0</v>
      </c>
      <c r="G546" s="57">
        <f>G547</f>
        <v>0</v>
      </c>
      <c r="H546" s="57"/>
    </row>
    <row r="547" spans="1:9" ht="48.75" customHeight="1" hidden="1">
      <c r="A547" s="23" t="s">
        <v>211</v>
      </c>
      <c r="B547" s="11" t="s">
        <v>368</v>
      </c>
      <c r="C547" s="11" t="s">
        <v>149</v>
      </c>
      <c r="D547" s="11" t="s">
        <v>567</v>
      </c>
      <c r="E547" s="11" t="s">
        <v>212</v>
      </c>
      <c r="F547" s="56">
        <f>G547</f>
        <v>0</v>
      </c>
      <c r="G547" s="56">
        <f>G548</f>
        <v>0</v>
      </c>
      <c r="H547" s="56"/>
      <c r="I547" s="133"/>
    </row>
    <row r="548" spans="1:9" ht="23.25" customHeight="1" hidden="1">
      <c r="A548" s="23" t="s">
        <v>213</v>
      </c>
      <c r="B548" s="11" t="s">
        <v>368</v>
      </c>
      <c r="C548" s="11" t="s">
        <v>149</v>
      </c>
      <c r="D548" s="11" t="s">
        <v>567</v>
      </c>
      <c r="E548" s="11" t="s">
        <v>279</v>
      </c>
      <c r="F548" s="56">
        <f>G548</f>
        <v>0</v>
      </c>
      <c r="G548" s="56">
        <v>0</v>
      </c>
      <c r="H548" s="56"/>
      <c r="I548" s="126"/>
    </row>
    <row r="549" spans="1:9" ht="53.25" customHeight="1">
      <c r="A549" s="54" t="s">
        <v>840</v>
      </c>
      <c r="B549" s="11" t="s">
        <v>368</v>
      </c>
      <c r="C549" s="11" t="s">
        <v>149</v>
      </c>
      <c r="D549" s="16" t="s">
        <v>81</v>
      </c>
      <c r="E549" s="16" t="s">
        <v>398</v>
      </c>
      <c r="F549" s="101">
        <f>G549+H549</f>
        <v>2498.58232</v>
      </c>
      <c r="G549" s="101">
        <f>G550+G552</f>
        <v>25</v>
      </c>
      <c r="H549" s="101">
        <f>H550</f>
        <v>2473.58232</v>
      </c>
      <c r="I549" s="126"/>
    </row>
    <row r="550" spans="1:9" ht="79.5" customHeight="1">
      <c r="A550" s="27" t="s">
        <v>839</v>
      </c>
      <c r="B550" s="11" t="s">
        <v>368</v>
      </c>
      <c r="C550" s="11" t="s">
        <v>149</v>
      </c>
      <c r="D550" s="24" t="s">
        <v>808</v>
      </c>
      <c r="E550" s="24" t="s">
        <v>212</v>
      </c>
      <c r="F550" s="56">
        <f>G550+H550</f>
        <v>2473.58232</v>
      </c>
      <c r="G550" s="57">
        <f>G551</f>
        <v>0</v>
      </c>
      <c r="H550" s="57">
        <f>H551</f>
        <v>2473.58232</v>
      </c>
      <c r="I550" s="126"/>
    </row>
    <row r="551" spans="1:9" ht="23.25" customHeight="1">
      <c r="A551" s="23" t="s">
        <v>213</v>
      </c>
      <c r="B551" s="11" t="s">
        <v>368</v>
      </c>
      <c r="C551" s="11" t="s">
        <v>149</v>
      </c>
      <c r="D551" s="24" t="s">
        <v>808</v>
      </c>
      <c r="E551" s="11" t="s">
        <v>279</v>
      </c>
      <c r="F551" s="56">
        <f>G551+H551</f>
        <v>2473.58232</v>
      </c>
      <c r="G551" s="56">
        <v>0</v>
      </c>
      <c r="H551" s="56">
        <v>2473.58232</v>
      </c>
      <c r="I551" s="126"/>
    </row>
    <row r="552" spans="1:9" ht="95.25" customHeight="1">
      <c r="A552" s="27" t="s">
        <v>807</v>
      </c>
      <c r="B552" s="11" t="s">
        <v>368</v>
      </c>
      <c r="C552" s="11" t="s">
        <v>149</v>
      </c>
      <c r="D552" s="24" t="s">
        <v>809</v>
      </c>
      <c r="E552" s="24" t="s">
        <v>212</v>
      </c>
      <c r="F552" s="57">
        <f>G552+H552</f>
        <v>25</v>
      </c>
      <c r="G552" s="57">
        <f>G553</f>
        <v>25</v>
      </c>
      <c r="H552" s="57">
        <f>H553</f>
        <v>0</v>
      </c>
      <c r="I552" s="126"/>
    </row>
    <row r="553" spans="1:9" ht="18" customHeight="1">
      <c r="A553" s="23" t="s">
        <v>213</v>
      </c>
      <c r="B553" s="11" t="s">
        <v>368</v>
      </c>
      <c r="C553" s="11" t="s">
        <v>149</v>
      </c>
      <c r="D553" s="11" t="s">
        <v>841</v>
      </c>
      <c r="E553" s="11" t="s">
        <v>279</v>
      </c>
      <c r="F553" s="56">
        <f>G553+H553</f>
        <v>25</v>
      </c>
      <c r="G553" s="56">
        <v>25</v>
      </c>
      <c r="H553" s="56">
        <v>0</v>
      </c>
      <c r="I553" s="126"/>
    </row>
    <row r="554" spans="1:9" ht="48" customHeight="1">
      <c r="A554" s="54" t="s">
        <v>920</v>
      </c>
      <c r="B554" s="16" t="s">
        <v>368</v>
      </c>
      <c r="C554" s="16" t="s">
        <v>149</v>
      </c>
      <c r="D554" s="16" t="s">
        <v>81</v>
      </c>
      <c r="E554" s="16" t="s">
        <v>398</v>
      </c>
      <c r="F554" s="101">
        <f aca="true" t="shared" si="20" ref="F554:F560">G554+H554</f>
        <v>3016.8768</v>
      </c>
      <c r="G554" s="101">
        <f>G558</f>
        <v>30.16877</v>
      </c>
      <c r="H554" s="101">
        <f>H555</f>
        <v>2986.70803</v>
      </c>
      <c r="I554" s="126"/>
    </row>
    <row r="555" spans="1:9" ht="63" customHeight="1">
      <c r="A555" s="23" t="s">
        <v>917</v>
      </c>
      <c r="B555" s="11" t="s">
        <v>368</v>
      </c>
      <c r="C555" s="11" t="s">
        <v>149</v>
      </c>
      <c r="D555" s="11" t="s">
        <v>919</v>
      </c>
      <c r="E555" s="11" t="s">
        <v>398</v>
      </c>
      <c r="F555" s="56">
        <f t="shared" si="20"/>
        <v>2986.70803</v>
      </c>
      <c r="G555" s="56">
        <v>0</v>
      </c>
      <c r="H555" s="56">
        <f>H556</f>
        <v>2986.70803</v>
      </c>
      <c r="I555" s="126"/>
    </row>
    <row r="556" spans="1:9" ht="48.75" customHeight="1">
      <c r="A556" s="23" t="s">
        <v>211</v>
      </c>
      <c r="B556" s="11" t="s">
        <v>368</v>
      </c>
      <c r="C556" s="11" t="s">
        <v>149</v>
      </c>
      <c r="D556" s="11" t="s">
        <v>919</v>
      </c>
      <c r="E556" s="11" t="s">
        <v>212</v>
      </c>
      <c r="F556" s="56">
        <f t="shared" si="20"/>
        <v>2986.70803</v>
      </c>
      <c r="G556" s="56">
        <v>0</v>
      </c>
      <c r="H556" s="56">
        <f>H557</f>
        <v>2986.70803</v>
      </c>
      <c r="I556" s="126"/>
    </row>
    <row r="557" spans="1:9" ht="18" customHeight="1">
      <c r="A557" s="23" t="s">
        <v>213</v>
      </c>
      <c r="B557" s="11" t="s">
        <v>368</v>
      </c>
      <c r="C557" s="11" t="s">
        <v>149</v>
      </c>
      <c r="D557" s="11" t="s">
        <v>919</v>
      </c>
      <c r="E557" s="11" t="s">
        <v>279</v>
      </c>
      <c r="F557" s="56">
        <f t="shared" si="20"/>
        <v>2986.70803</v>
      </c>
      <c r="G557" s="56">
        <v>0</v>
      </c>
      <c r="H557" s="56">
        <f>3000-13.29197</f>
        <v>2986.70803</v>
      </c>
      <c r="I557" s="126"/>
    </row>
    <row r="558" spans="1:9" ht="80.25" customHeight="1">
      <c r="A558" s="23" t="s">
        <v>918</v>
      </c>
      <c r="B558" s="11" t="s">
        <v>368</v>
      </c>
      <c r="C558" s="11" t="s">
        <v>149</v>
      </c>
      <c r="D558" s="11" t="s">
        <v>960</v>
      </c>
      <c r="E558" s="11" t="s">
        <v>398</v>
      </c>
      <c r="F558" s="56">
        <f t="shared" si="20"/>
        <v>30.16877</v>
      </c>
      <c r="G558" s="56">
        <f>G559</f>
        <v>30.16877</v>
      </c>
      <c r="H558" s="56">
        <v>0</v>
      </c>
      <c r="I558" s="126"/>
    </row>
    <row r="559" spans="1:9" ht="51.75" customHeight="1">
      <c r="A559" s="23" t="s">
        <v>211</v>
      </c>
      <c r="B559" s="11" t="s">
        <v>368</v>
      </c>
      <c r="C559" s="11" t="s">
        <v>149</v>
      </c>
      <c r="D559" s="11" t="s">
        <v>960</v>
      </c>
      <c r="E559" s="11" t="s">
        <v>212</v>
      </c>
      <c r="F559" s="56">
        <f t="shared" si="20"/>
        <v>30.16877</v>
      </c>
      <c r="G559" s="56">
        <f>G560</f>
        <v>30.16877</v>
      </c>
      <c r="H559" s="56">
        <v>0</v>
      </c>
      <c r="I559" s="126"/>
    </row>
    <row r="560" spans="1:9" ht="18" customHeight="1">
      <c r="A560" s="23" t="s">
        <v>213</v>
      </c>
      <c r="B560" s="11" t="s">
        <v>368</v>
      </c>
      <c r="C560" s="11" t="s">
        <v>149</v>
      </c>
      <c r="D560" s="11" t="s">
        <v>960</v>
      </c>
      <c r="E560" s="11" t="s">
        <v>279</v>
      </c>
      <c r="F560" s="56">
        <f t="shared" si="20"/>
        <v>30.16877</v>
      </c>
      <c r="G560" s="56">
        <f>30.30303-0.13426</f>
        <v>30.16877</v>
      </c>
      <c r="H560" s="56">
        <v>0</v>
      </c>
      <c r="I560" s="126"/>
    </row>
    <row r="561" spans="1:9" ht="66.75" customHeight="1">
      <c r="A561" s="35" t="s">
        <v>931</v>
      </c>
      <c r="B561" s="51" t="s">
        <v>368</v>
      </c>
      <c r="C561" s="51" t="s">
        <v>149</v>
      </c>
      <c r="D561" s="51" t="s">
        <v>933</v>
      </c>
      <c r="E561" s="51" t="s">
        <v>398</v>
      </c>
      <c r="F561" s="98">
        <f>G561+H561</f>
        <v>102.06142999999999</v>
      </c>
      <c r="G561" s="98">
        <f>G565</f>
        <v>0.02062</v>
      </c>
      <c r="H561" s="98">
        <f>H562</f>
        <v>102.04081</v>
      </c>
      <c r="I561" s="126"/>
    </row>
    <row r="562" spans="1:9" ht="99" customHeight="1">
      <c r="A562" s="23" t="s">
        <v>937</v>
      </c>
      <c r="B562" s="11" t="s">
        <v>368</v>
      </c>
      <c r="C562" s="11" t="s">
        <v>149</v>
      </c>
      <c r="D562" s="11" t="s">
        <v>939</v>
      </c>
      <c r="E562" s="11" t="s">
        <v>398</v>
      </c>
      <c r="F562" s="56">
        <f>G562+H562</f>
        <v>102.04081</v>
      </c>
      <c r="G562" s="56"/>
      <c r="H562" s="56">
        <f>H563</f>
        <v>102.04081</v>
      </c>
      <c r="I562" s="126"/>
    </row>
    <row r="563" spans="1:9" ht="51" customHeight="1">
      <c r="A563" s="23" t="s">
        <v>211</v>
      </c>
      <c r="B563" s="11" t="s">
        <v>368</v>
      </c>
      <c r="C563" s="11" t="s">
        <v>149</v>
      </c>
      <c r="D563" s="11" t="s">
        <v>939</v>
      </c>
      <c r="E563" s="11" t="s">
        <v>212</v>
      </c>
      <c r="F563" s="56">
        <f>G563+H563</f>
        <v>102.04081</v>
      </c>
      <c r="G563" s="56"/>
      <c r="H563" s="56">
        <f>H564</f>
        <v>102.04081</v>
      </c>
      <c r="I563" s="126"/>
    </row>
    <row r="564" spans="1:9" ht="16.5" customHeight="1">
      <c r="A564" s="23" t="s">
        <v>213</v>
      </c>
      <c r="B564" s="11" t="s">
        <v>368</v>
      </c>
      <c r="C564" s="11" t="s">
        <v>149</v>
      </c>
      <c r="D564" s="11" t="s">
        <v>939</v>
      </c>
      <c r="E564" s="11" t="s">
        <v>279</v>
      </c>
      <c r="F564" s="56">
        <f>G564+H564</f>
        <v>102.04081</v>
      </c>
      <c r="G564" s="56"/>
      <c r="H564" s="56">
        <v>102.04081</v>
      </c>
      <c r="I564" s="126"/>
    </row>
    <row r="565" spans="1:9" ht="117" customHeight="1">
      <c r="A565" s="23" t="s">
        <v>932</v>
      </c>
      <c r="B565" s="11" t="s">
        <v>368</v>
      </c>
      <c r="C565" s="11" t="s">
        <v>149</v>
      </c>
      <c r="D565" s="11" t="s">
        <v>939</v>
      </c>
      <c r="E565" s="11" t="s">
        <v>398</v>
      </c>
      <c r="F565" s="56">
        <f>G565</f>
        <v>0.02062</v>
      </c>
      <c r="G565" s="56">
        <f>G566</f>
        <v>0.02062</v>
      </c>
      <c r="H565" s="56"/>
      <c r="I565" s="126"/>
    </row>
    <row r="566" spans="1:9" ht="51" customHeight="1">
      <c r="A566" s="23" t="s">
        <v>211</v>
      </c>
      <c r="B566" s="11" t="s">
        <v>368</v>
      </c>
      <c r="C566" s="11" t="s">
        <v>149</v>
      </c>
      <c r="D566" s="11" t="s">
        <v>939</v>
      </c>
      <c r="E566" s="11" t="s">
        <v>212</v>
      </c>
      <c r="F566" s="56">
        <f>G566</f>
        <v>0.02062</v>
      </c>
      <c r="G566" s="56">
        <f>G567</f>
        <v>0.02062</v>
      </c>
      <c r="H566" s="56"/>
      <c r="I566" s="126"/>
    </row>
    <row r="567" spans="1:9" ht="18" customHeight="1">
      <c r="A567" s="23" t="s">
        <v>213</v>
      </c>
      <c r="B567" s="11" t="s">
        <v>368</v>
      </c>
      <c r="C567" s="11" t="s">
        <v>149</v>
      </c>
      <c r="D567" s="11" t="s">
        <v>939</v>
      </c>
      <c r="E567" s="11" t="s">
        <v>279</v>
      </c>
      <c r="F567" s="56">
        <f>G567</f>
        <v>0.02062</v>
      </c>
      <c r="G567" s="56">
        <f>0.02061+0.00001</f>
        <v>0.02062</v>
      </c>
      <c r="H567" s="56"/>
      <c r="I567" s="126"/>
    </row>
    <row r="568" spans="1:8" ht="102.75" customHeight="1">
      <c r="A568" s="28" t="s">
        <v>514</v>
      </c>
      <c r="B568" s="11" t="s">
        <v>368</v>
      </c>
      <c r="C568" s="11" t="s">
        <v>149</v>
      </c>
      <c r="D568" s="11" t="s">
        <v>85</v>
      </c>
      <c r="E568" s="11" t="s">
        <v>398</v>
      </c>
      <c r="F568" s="56">
        <f>G568+H568</f>
        <v>2064.587</v>
      </c>
      <c r="G568" s="56">
        <f>G569</f>
        <v>2064.587</v>
      </c>
      <c r="H568" s="56"/>
    </row>
    <row r="569" spans="1:8" ht="52.5" customHeight="1">
      <c r="A569" s="23" t="s">
        <v>211</v>
      </c>
      <c r="B569" s="11" t="s">
        <v>368</v>
      </c>
      <c r="C569" s="11" t="s">
        <v>149</v>
      </c>
      <c r="D569" s="11" t="s">
        <v>85</v>
      </c>
      <c r="E569" s="11" t="s">
        <v>212</v>
      </c>
      <c r="F569" s="56">
        <f>G569+H569</f>
        <v>2064.587</v>
      </c>
      <c r="G569" s="56">
        <f>G570</f>
        <v>2064.587</v>
      </c>
      <c r="H569" s="56"/>
    </row>
    <row r="570" spans="1:8" ht="16.5" customHeight="1">
      <c r="A570" s="23" t="s">
        <v>213</v>
      </c>
      <c r="B570" s="11" t="s">
        <v>368</v>
      </c>
      <c r="C570" s="11" t="s">
        <v>149</v>
      </c>
      <c r="D570" s="11" t="s">
        <v>85</v>
      </c>
      <c r="E570" s="11" t="s">
        <v>279</v>
      </c>
      <c r="F570" s="56">
        <f>G570+H570</f>
        <v>2064.587</v>
      </c>
      <c r="G570" s="56">
        <f>1659.887+71.2+93.7+239.8</f>
        <v>2064.587</v>
      </c>
      <c r="H570" s="56"/>
    </row>
    <row r="571" spans="1:10" ht="32.25" customHeight="1">
      <c r="A571" s="23" t="s">
        <v>14</v>
      </c>
      <c r="B571" s="11" t="s">
        <v>368</v>
      </c>
      <c r="C571" s="11" t="s">
        <v>160</v>
      </c>
      <c r="D571" s="11" t="s">
        <v>311</v>
      </c>
      <c r="E571" s="11" t="s">
        <v>398</v>
      </c>
      <c r="F571" s="56">
        <f>G571+H571</f>
        <v>1763.285</v>
      </c>
      <c r="G571" s="56">
        <f>G572+G589+G592+G597+G600+G594</f>
        <v>1763.285</v>
      </c>
      <c r="H571" s="56">
        <f>H572+H589+H592+H597+H600</f>
        <v>0</v>
      </c>
      <c r="J571" s="132"/>
    </row>
    <row r="572" spans="1:10" ht="50.25" customHeight="1">
      <c r="A572" s="27" t="s">
        <v>457</v>
      </c>
      <c r="B572" s="24" t="s">
        <v>368</v>
      </c>
      <c r="C572" s="24" t="s">
        <v>160</v>
      </c>
      <c r="D572" s="24" t="s">
        <v>80</v>
      </c>
      <c r="E572" s="24" t="s">
        <v>398</v>
      </c>
      <c r="F572" s="57">
        <f>G572</f>
        <v>1700.285</v>
      </c>
      <c r="G572" s="57">
        <f>G573+G576+G583+G586</f>
        <v>1700.285</v>
      </c>
      <c r="H572" s="57">
        <f>H573+H576</f>
        <v>0</v>
      </c>
      <c r="J572" s="132"/>
    </row>
    <row r="573" spans="1:8" ht="37.5" customHeight="1">
      <c r="A573" s="28" t="s">
        <v>515</v>
      </c>
      <c r="B573" s="11" t="s">
        <v>368</v>
      </c>
      <c r="C573" s="11" t="s">
        <v>160</v>
      </c>
      <c r="D573" s="11" t="s">
        <v>86</v>
      </c>
      <c r="E573" s="11" t="s">
        <v>398</v>
      </c>
      <c r="F573" s="56">
        <f aca="true" t="shared" si="21" ref="F573:F599">G573+H573</f>
        <v>1700.285</v>
      </c>
      <c r="G573" s="56">
        <f>G574</f>
        <v>1700.285</v>
      </c>
      <c r="H573" s="56"/>
    </row>
    <row r="574" spans="1:8" ht="50.25" customHeight="1">
      <c r="A574" s="23" t="s">
        <v>211</v>
      </c>
      <c r="B574" s="11" t="s">
        <v>368</v>
      </c>
      <c r="C574" s="11" t="s">
        <v>160</v>
      </c>
      <c r="D574" s="11" t="s">
        <v>86</v>
      </c>
      <c r="E574" s="11" t="s">
        <v>212</v>
      </c>
      <c r="F574" s="56">
        <f t="shared" si="21"/>
        <v>1700.285</v>
      </c>
      <c r="G574" s="56">
        <f>G575</f>
        <v>1700.285</v>
      </c>
      <c r="H574" s="56"/>
    </row>
    <row r="575" spans="1:9" ht="17.25" customHeight="1">
      <c r="A575" s="23" t="s">
        <v>213</v>
      </c>
      <c r="B575" s="11" t="s">
        <v>368</v>
      </c>
      <c r="C575" s="11" t="s">
        <v>160</v>
      </c>
      <c r="D575" s="11" t="s">
        <v>86</v>
      </c>
      <c r="E575" s="11" t="s">
        <v>279</v>
      </c>
      <c r="F575" s="56">
        <f t="shared" si="21"/>
        <v>1700.285</v>
      </c>
      <c r="G575" s="56">
        <f>1134.785+71.5+253.9+240.1</f>
        <v>1700.285</v>
      </c>
      <c r="H575" s="56"/>
      <c r="I575" s="132"/>
    </row>
    <row r="576" spans="1:9" ht="51" customHeight="1" hidden="1">
      <c r="A576" s="54" t="s">
        <v>805</v>
      </c>
      <c r="B576" s="16" t="s">
        <v>368</v>
      </c>
      <c r="C576" s="16" t="s">
        <v>160</v>
      </c>
      <c r="D576" s="16" t="s">
        <v>81</v>
      </c>
      <c r="E576" s="16" t="s">
        <v>398</v>
      </c>
      <c r="F576" s="101">
        <f>G576+H576</f>
        <v>0</v>
      </c>
      <c r="G576" s="101">
        <f>G580</f>
        <v>0</v>
      </c>
      <c r="H576" s="101">
        <f>H577</f>
        <v>0</v>
      </c>
      <c r="I576" s="132"/>
    </row>
    <row r="577" spans="1:9" ht="66" customHeight="1" hidden="1">
      <c r="A577" s="23" t="s">
        <v>806</v>
      </c>
      <c r="B577" s="11" t="s">
        <v>368</v>
      </c>
      <c r="C577" s="11" t="s">
        <v>160</v>
      </c>
      <c r="D577" s="11" t="s">
        <v>808</v>
      </c>
      <c r="E577" s="11" t="s">
        <v>398</v>
      </c>
      <c r="F577" s="56">
        <f aca="true" t="shared" si="22" ref="F577:F588">G577+H577</f>
        <v>0</v>
      </c>
      <c r="G577" s="56"/>
      <c r="H577" s="56">
        <f>H578</f>
        <v>0</v>
      </c>
      <c r="I577" s="132"/>
    </row>
    <row r="578" spans="1:9" ht="48.75" customHeight="1" hidden="1">
      <c r="A578" s="23" t="s">
        <v>211</v>
      </c>
      <c r="B578" s="11" t="s">
        <v>368</v>
      </c>
      <c r="C578" s="11" t="s">
        <v>160</v>
      </c>
      <c r="D578" s="11" t="s">
        <v>808</v>
      </c>
      <c r="E578" s="11" t="s">
        <v>212</v>
      </c>
      <c r="F578" s="56">
        <f t="shared" si="22"/>
        <v>0</v>
      </c>
      <c r="G578" s="56"/>
      <c r="H578" s="56">
        <f>H579</f>
        <v>0</v>
      </c>
      <c r="I578" s="132"/>
    </row>
    <row r="579" spans="1:9" ht="22.5" customHeight="1" hidden="1">
      <c r="A579" s="23" t="s">
        <v>213</v>
      </c>
      <c r="B579" s="11" t="s">
        <v>368</v>
      </c>
      <c r="C579" s="11" t="s">
        <v>160</v>
      </c>
      <c r="D579" s="11" t="s">
        <v>808</v>
      </c>
      <c r="E579" s="11" t="s">
        <v>279</v>
      </c>
      <c r="F579" s="56">
        <f t="shared" si="22"/>
        <v>0</v>
      </c>
      <c r="G579" s="56"/>
      <c r="H579" s="56">
        <v>0</v>
      </c>
      <c r="I579" s="132"/>
    </row>
    <row r="580" spans="1:9" ht="84" customHeight="1" hidden="1">
      <c r="A580" s="23" t="s">
        <v>807</v>
      </c>
      <c r="B580" s="11" t="s">
        <v>368</v>
      </c>
      <c r="C580" s="11" t="s">
        <v>160</v>
      </c>
      <c r="D580" s="11" t="s">
        <v>809</v>
      </c>
      <c r="E580" s="11" t="s">
        <v>398</v>
      </c>
      <c r="F580" s="56">
        <f t="shared" si="22"/>
        <v>0</v>
      </c>
      <c r="G580" s="56">
        <f>G581</f>
        <v>0</v>
      </c>
      <c r="H580" s="56"/>
      <c r="I580" s="132"/>
    </row>
    <row r="581" spans="1:9" ht="51" customHeight="1" hidden="1">
      <c r="A581" s="23" t="s">
        <v>211</v>
      </c>
      <c r="B581" s="11" t="s">
        <v>368</v>
      </c>
      <c r="C581" s="11" t="s">
        <v>160</v>
      </c>
      <c r="D581" s="11" t="s">
        <v>809</v>
      </c>
      <c r="E581" s="11" t="s">
        <v>212</v>
      </c>
      <c r="F581" s="56">
        <f t="shared" si="22"/>
        <v>0</v>
      </c>
      <c r="G581" s="56">
        <f>G582</f>
        <v>0</v>
      </c>
      <c r="H581" s="56"/>
      <c r="I581" s="132"/>
    </row>
    <row r="582" spans="1:9" ht="18.75" customHeight="1" hidden="1">
      <c r="A582" s="23" t="s">
        <v>213</v>
      </c>
      <c r="B582" s="11" t="s">
        <v>368</v>
      </c>
      <c r="C582" s="11" t="s">
        <v>160</v>
      </c>
      <c r="D582" s="11" t="s">
        <v>809</v>
      </c>
      <c r="E582" s="11" t="s">
        <v>279</v>
      </c>
      <c r="F582" s="56">
        <f t="shared" si="22"/>
        <v>0</v>
      </c>
      <c r="G582" s="56"/>
      <c r="H582" s="56"/>
      <c r="I582" s="132"/>
    </row>
    <row r="583" spans="1:9" ht="40.5" customHeight="1" hidden="1">
      <c r="A583" s="28" t="s">
        <v>883</v>
      </c>
      <c r="B583" s="11" t="s">
        <v>368</v>
      </c>
      <c r="C583" s="11" t="s">
        <v>160</v>
      </c>
      <c r="D583" s="11" t="s">
        <v>847</v>
      </c>
      <c r="E583" s="11" t="s">
        <v>398</v>
      </c>
      <c r="F583" s="56">
        <f t="shared" si="22"/>
        <v>0</v>
      </c>
      <c r="G583" s="56">
        <f>G584</f>
        <v>0</v>
      </c>
      <c r="H583" s="56">
        <f>H584</f>
        <v>0</v>
      </c>
      <c r="I583" s="132"/>
    </row>
    <row r="584" spans="1:9" ht="48.75" customHeight="1" hidden="1">
      <c r="A584" s="225" t="s">
        <v>211</v>
      </c>
      <c r="B584" s="11" t="s">
        <v>368</v>
      </c>
      <c r="C584" s="11" t="s">
        <v>160</v>
      </c>
      <c r="D584" s="11" t="s">
        <v>847</v>
      </c>
      <c r="E584" s="11" t="s">
        <v>212</v>
      </c>
      <c r="F584" s="56">
        <f t="shared" si="22"/>
        <v>0</v>
      </c>
      <c r="G584" s="56">
        <f>G585</f>
        <v>0</v>
      </c>
      <c r="H584" s="56">
        <f>H585</f>
        <v>0</v>
      </c>
      <c r="I584" s="132"/>
    </row>
    <row r="585" spans="1:9" ht="24" customHeight="1" hidden="1">
      <c r="A585" s="225" t="s">
        <v>213</v>
      </c>
      <c r="B585" s="11" t="s">
        <v>368</v>
      </c>
      <c r="C585" s="11" t="s">
        <v>160</v>
      </c>
      <c r="D585" s="11" t="s">
        <v>847</v>
      </c>
      <c r="E585" s="11" t="s">
        <v>279</v>
      </c>
      <c r="F585" s="56">
        <f t="shared" si="22"/>
        <v>0</v>
      </c>
      <c r="G585" s="56"/>
      <c r="H585" s="56"/>
      <c r="I585" s="132"/>
    </row>
    <row r="586" spans="1:9" ht="34.5" customHeight="1" hidden="1">
      <c r="A586" s="28" t="s">
        <v>884</v>
      </c>
      <c r="B586" s="11" t="s">
        <v>368</v>
      </c>
      <c r="C586" s="11" t="s">
        <v>160</v>
      </c>
      <c r="D586" s="11" t="s">
        <v>848</v>
      </c>
      <c r="E586" s="11" t="s">
        <v>398</v>
      </c>
      <c r="F586" s="56">
        <f t="shared" si="22"/>
        <v>0</v>
      </c>
      <c r="G586" s="56">
        <f>G587</f>
        <v>0</v>
      </c>
      <c r="H586" s="56">
        <f>H587</f>
        <v>0</v>
      </c>
      <c r="I586" s="132"/>
    </row>
    <row r="587" spans="1:9" ht="51.75" customHeight="1" hidden="1">
      <c r="A587" s="225" t="s">
        <v>211</v>
      </c>
      <c r="B587" s="11" t="s">
        <v>368</v>
      </c>
      <c r="C587" s="11" t="s">
        <v>160</v>
      </c>
      <c r="D587" s="11" t="s">
        <v>848</v>
      </c>
      <c r="E587" s="11" t="s">
        <v>212</v>
      </c>
      <c r="F587" s="56">
        <f t="shared" si="22"/>
        <v>0</v>
      </c>
      <c r="G587" s="56">
        <f>G588</f>
        <v>0</v>
      </c>
      <c r="H587" s="56">
        <f>H588</f>
        <v>0</v>
      </c>
      <c r="I587" s="132"/>
    </row>
    <row r="588" spans="1:9" ht="18.75" customHeight="1" hidden="1">
      <c r="A588" s="225" t="s">
        <v>213</v>
      </c>
      <c r="B588" s="11" t="s">
        <v>368</v>
      </c>
      <c r="C588" s="11" t="s">
        <v>160</v>
      </c>
      <c r="D588" s="11" t="s">
        <v>848</v>
      </c>
      <c r="E588" s="11" t="s">
        <v>279</v>
      </c>
      <c r="F588" s="56">
        <f t="shared" si="22"/>
        <v>0</v>
      </c>
      <c r="G588" s="56"/>
      <c r="H588" s="56"/>
      <c r="I588" s="132"/>
    </row>
    <row r="589" spans="1:8" s="125" customFormat="1" ht="48" customHeight="1">
      <c r="A589" s="27" t="s">
        <v>452</v>
      </c>
      <c r="B589" s="24" t="s">
        <v>368</v>
      </c>
      <c r="C589" s="24" t="s">
        <v>160</v>
      </c>
      <c r="D589" s="24" t="s">
        <v>35</v>
      </c>
      <c r="E589" s="24" t="s">
        <v>398</v>
      </c>
      <c r="F589" s="57">
        <f t="shared" si="21"/>
        <v>39</v>
      </c>
      <c r="G589" s="57">
        <f>G590</f>
        <v>39</v>
      </c>
      <c r="H589" s="57">
        <f>H590</f>
        <v>0</v>
      </c>
    </row>
    <row r="590" spans="1:8" ht="33.75" customHeight="1">
      <c r="A590" s="28" t="s">
        <v>87</v>
      </c>
      <c r="B590" s="11" t="s">
        <v>368</v>
      </c>
      <c r="C590" s="11" t="s">
        <v>160</v>
      </c>
      <c r="D590" s="11" t="s">
        <v>36</v>
      </c>
      <c r="E590" s="11" t="s">
        <v>398</v>
      </c>
      <c r="F590" s="56">
        <f t="shared" si="21"/>
        <v>39</v>
      </c>
      <c r="G590" s="56">
        <f>G591</f>
        <v>39</v>
      </c>
      <c r="H590" s="56">
        <f>H591</f>
        <v>0</v>
      </c>
    </row>
    <row r="591" spans="1:8" ht="17.25" customHeight="1">
      <c r="A591" s="23" t="s">
        <v>213</v>
      </c>
      <c r="B591" s="11" t="s">
        <v>368</v>
      </c>
      <c r="C591" s="11" t="s">
        <v>160</v>
      </c>
      <c r="D591" s="11" t="s">
        <v>88</v>
      </c>
      <c r="E591" s="11" t="s">
        <v>279</v>
      </c>
      <c r="F591" s="56">
        <f t="shared" si="21"/>
        <v>39</v>
      </c>
      <c r="G591" s="56">
        <v>39</v>
      </c>
      <c r="H591" s="56"/>
    </row>
    <row r="592" spans="1:8" s="125" customFormat="1" ht="64.5" customHeight="1">
      <c r="A592" s="27" t="s">
        <v>454</v>
      </c>
      <c r="B592" s="24" t="s">
        <v>368</v>
      </c>
      <c r="C592" s="24" t="s">
        <v>160</v>
      </c>
      <c r="D592" s="24" t="s">
        <v>75</v>
      </c>
      <c r="E592" s="24" t="s">
        <v>398</v>
      </c>
      <c r="F592" s="57">
        <f t="shared" si="21"/>
        <v>4</v>
      </c>
      <c r="G592" s="57">
        <f>G593</f>
        <v>4</v>
      </c>
      <c r="H592" s="57">
        <f>H593</f>
        <v>0</v>
      </c>
    </row>
    <row r="593" spans="1:8" s="143" customFormat="1" ht="33.75" customHeight="1">
      <c r="A593" s="23" t="s">
        <v>330</v>
      </c>
      <c r="B593" s="11" t="s">
        <v>368</v>
      </c>
      <c r="C593" s="11" t="s">
        <v>160</v>
      </c>
      <c r="D593" s="11" t="s">
        <v>89</v>
      </c>
      <c r="E593" s="11" t="s">
        <v>279</v>
      </c>
      <c r="F593" s="56">
        <f t="shared" si="21"/>
        <v>4</v>
      </c>
      <c r="G593" s="56">
        <v>4</v>
      </c>
      <c r="H593" s="101"/>
    </row>
    <row r="594" spans="1:8" s="143" customFormat="1" ht="48" customHeight="1">
      <c r="A594" s="27" t="s">
        <v>464</v>
      </c>
      <c r="B594" s="24" t="s">
        <v>368</v>
      </c>
      <c r="C594" s="24" t="s">
        <v>160</v>
      </c>
      <c r="D594" s="24" t="s">
        <v>45</v>
      </c>
      <c r="E594" s="24" t="s">
        <v>398</v>
      </c>
      <c r="F594" s="57">
        <f t="shared" si="21"/>
        <v>20</v>
      </c>
      <c r="G594" s="57">
        <f>G595</f>
        <v>20</v>
      </c>
      <c r="H594" s="57">
        <f>H596</f>
        <v>0</v>
      </c>
    </row>
    <row r="595" spans="1:8" ht="23.25" customHeight="1">
      <c r="A595" s="23" t="s">
        <v>213</v>
      </c>
      <c r="B595" s="11" t="s">
        <v>368</v>
      </c>
      <c r="C595" s="11" t="s">
        <v>160</v>
      </c>
      <c r="D595" s="4" t="s">
        <v>652</v>
      </c>
      <c r="E595" s="11" t="s">
        <v>279</v>
      </c>
      <c r="F595" s="57">
        <f t="shared" si="21"/>
        <v>20</v>
      </c>
      <c r="G595" s="56">
        <f>G596</f>
        <v>20</v>
      </c>
      <c r="H595" s="129"/>
    </row>
    <row r="596" spans="1:8" ht="35.25" customHeight="1">
      <c r="A596" s="23" t="s">
        <v>906</v>
      </c>
      <c r="B596" s="11" t="s">
        <v>368</v>
      </c>
      <c r="C596" s="11" t="s">
        <v>160</v>
      </c>
      <c r="D596" s="4" t="s">
        <v>652</v>
      </c>
      <c r="E596" s="11" t="s">
        <v>279</v>
      </c>
      <c r="F596" s="56">
        <f t="shared" si="21"/>
        <v>20</v>
      </c>
      <c r="G596" s="56">
        <v>20</v>
      </c>
      <c r="H596" s="99"/>
    </row>
    <row r="597" spans="1:8" ht="81" customHeight="1" hidden="1">
      <c r="A597" s="27" t="s">
        <v>505</v>
      </c>
      <c r="B597" s="24" t="s">
        <v>368</v>
      </c>
      <c r="C597" s="24" t="s">
        <v>160</v>
      </c>
      <c r="D597" s="24" t="s">
        <v>503</v>
      </c>
      <c r="E597" s="24" t="s">
        <v>398</v>
      </c>
      <c r="F597" s="57">
        <f t="shared" si="21"/>
        <v>0</v>
      </c>
      <c r="G597" s="57">
        <f>G598</f>
        <v>0</v>
      </c>
      <c r="H597" s="115"/>
    </row>
    <row r="598" spans="1:8" ht="49.5" customHeight="1" hidden="1">
      <c r="A598" s="23" t="s">
        <v>211</v>
      </c>
      <c r="B598" s="11" t="s">
        <v>368</v>
      </c>
      <c r="C598" s="11" t="s">
        <v>160</v>
      </c>
      <c r="D598" s="11" t="s">
        <v>775</v>
      </c>
      <c r="E598" s="11" t="s">
        <v>212</v>
      </c>
      <c r="F598" s="56">
        <f t="shared" si="21"/>
        <v>0</v>
      </c>
      <c r="G598" s="56">
        <f>G599</f>
        <v>0</v>
      </c>
      <c r="H598" s="99"/>
    </row>
    <row r="599" spans="1:8" ht="27" customHeight="1" hidden="1">
      <c r="A599" s="23" t="s">
        <v>213</v>
      </c>
      <c r="B599" s="11" t="s">
        <v>368</v>
      </c>
      <c r="C599" s="11" t="s">
        <v>160</v>
      </c>
      <c r="D599" s="11" t="s">
        <v>775</v>
      </c>
      <c r="E599" s="11" t="s">
        <v>279</v>
      </c>
      <c r="F599" s="56">
        <f t="shared" si="21"/>
        <v>0</v>
      </c>
      <c r="G599" s="56">
        <v>0</v>
      </c>
      <c r="H599" s="99"/>
    </row>
    <row r="600" spans="1:9" ht="51" customHeight="1" hidden="1">
      <c r="A600" s="27" t="s">
        <v>457</v>
      </c>
      <c r="B600" s="24" t="s">
        <v>368</v>
      </c>
      <c r="C600" s="24" t="s">
        <v>160</v>
      </c>
      <c r="D600" s="24" t="s">
        <v>80</v>
      </c>
      <c r="E600" s="24" t="s">
        <v>398</v>
      </c>
      <c r="F600" s="57">
        <f aca="true" t="shared" si="23" ref="F600:F605">G600</f>
        <v>0</v>
      </c>
      <c r="G600" s="57">
        <f>G601</f>
        <v>0</v>
      </c>
      <c r="H600" s="129"/>
      <c r="I600" s="130"/>
    </row>
    <row r="601" spans="1:8" ht="71.25" customHeight="1" hidden="1">
      <c r="A601" s="28" t="s">
        <v>516</v>
      </c>
      <c r="B601" s="11" t="s">
        <v>368</v>
      </c>
      <c r="C601" s="11" t="s">
        <v>160</v>
      </c>
      <c r="D601" s="11" t="s">
        <v>481</v>
      </c>
      <c r="E601" s="11" t="s">
        <v>398</v>
      </c>
      <c r="F601" s="56">
        <f t="shared" si="23"/>
        <v>0</v>
      </c>
      <c r="G601" s="56">
        <f>G602+G604</f>
        <v>0</v>
      </c>
      <c r="H601" s="129"/>
    </row>
    <row r="602" spans="1:8" ht="44.25" customHeight="1" hidden="1">
      <c r="A602" s="23" t="s">
        <v>185</v>
      </c>
      <c r="B602" s="11" t="s">
        <v>368</v>
      </c>
      <c r="C602" s="11" t="s">
        <v>160</v>
      </c>
      <c r="D602" s="11" t="s">
        <v>481</v>
      </c>
      <c r="E602" s="11" t="s">
        <v>154</v>
      </c>
      <c r="F602" s="56">
        <f t="shared" si="23"/>
        <v>0</v>
      </c>
      <c r="G602" s="56">
        <f>G603</f>
        <v>0</v>
      </c>
      <c r="H602" s="129"/>
    </row>
    <row r="603" spans="1:8" ht="33" customHeight="1" hidden="1">
      <c r="A603" s="23" t="s">
        <v>201</v>
      </c>
      <c r="B603" s="11" t="s">
        <v>368</v>
      </c>
      <c r="C603" s="11" t="s">
        <v>160</v>
      </c>
      <c r="D603" s="11" t="s">
        <v>481</v>
      </c>
      <c r="E603" s="11" t="s">
        <v>161</v>
      </c>
      <c r="F603" s="56">
        <f t="shared" si="23"/>
        <v>0</v>
      </c>
      <c r="G603" s="56">
        <v>0</v>
      </c>
      <c r="H603" s="129"/>
    </row>
    <row r="604" spans="1:8" ht="39.75" customHeight="1" hidden="1">
      <c r="A604" s="23" t="s">
        <v>188</v>
      </c>
      <c r="B604" s="11" t="s">
        <v>368</v>
      </c>
      <c r="C604" s="11" t="s">
        <v>160</v>
      </c>
      <c r="D604" s="11" t="s">
        <v>481</v>
      </c>
      <c r="E604" s="11" t="s">
        <v>158</v>
      </c>
      <c r="F604" s="56">
        <f t="shared" si="23"/>
        <v>0</v>
      </c>
      <c r="G604" s="56">
        <f>G605</f>
        <v>0</v>
      </c>
      <c r="H604" s="129"/>
    </row>
    <row r="605" spans="1:8" ht="47.25" customHeight="1" hidden="1">
      <c r="A605" s="44" t="s">
        <v>189</v>
      </c>
      <c r="B605" s="11" t="s">
        <v>368</v>
      </c>
      <c r="C605" s="11" t="s">
        <v>160</v>
      </c>
      <c r="D605" s="11" t="s">
        <v>481</v>
      </c>
      <c r="E605" s="11" t="s">
        <v>190</v>
      </c>
      <c r="F605" s="56">
        <f t="shared" si="23"/>
        <v>0</v>
      </c>
      <c r="G605" s="56">
        <v>0</v>
      </c>
      <c r="H605" s="129"/>
    </row>
    <row r="606" spans="1:8" ht="18.75" customHeight="1" hidden="1">
      <c r="A606" s="54" t="s">
        <v>878</v>
      </c>
      <c r="B606" s="16" t="s">
        <v>365</v>
      </c>
      <c r="C606" s="16" t="s">
        <v>150</v>
      </c>
      <c r="D606" s="16" t="s">
        <v>311</v>
      </c>
      <c r="E606" s="16" t="s">
        <v>398</v>
      </c>
      <c r="F606" s="101">
        <f>G606+H606</f>
        <v>0</v>
      </c>
      <c r="G606" s="101">
        <f>G607</f>
        <v>0</v>
      </c>
      <c r="H606" s="101">
        <f>H608</f>
        <v>0</v>
      </c>
    </row>
    <row r="607" spans="1:8" ht="25.5" customHeight="1" hidden="1">
      <c r="A607" s="35" t="s">
        <v>853</v>
      </c>
      <c r="B607" s="51" t="s">
        <v>365</v>
      </c>
      <c r="C607" s="51" t="s">
        <v>365</v>
      </c>
      <c r="D607" s="51" t="s">
        <v>311</v>
      </c>
      <c r="E607" s="51" t="s">
        <v>398</v>
      </c>
      <c r="F607" s="98">
        <f>F608</f>
        <v>0</v>
      </c>
      <c r="G607" s="98">
        <f>G608</f>
        <v>0</v>
      </c>
      <c r="H607" s="98">
        <f>H608</f>
        <v>0</v>
      </c>
    </row>
    <row r="608" spans="1:8" ht="47.25" customHeight="1" hidden="1">
      <c r="A608" s="23" t="s">
        <v>834</v>
      </c>
      <c r="B608" s="24" t="s">
        <v>365</v>
      </c>
      <c r="C608" s="24" t="s">
        <v>365</v>
      </c>
      <c r="D608" s="24" t="s">
        <v>852</v>
      </c>
      <c r="E608" s="11" t="s">
        <v>398</v>
      </c>
      <c r="F608" s="57">
        <f>G608+H608</f>
        <v>0</v>
      </c>
      <c r="G608" s="56">
        <f>G609</f>
        <v>0</v>
      </c>
      <c r="H608" s="56">
        <f>H609</f>
        <v>0</v>
      </c>
    </row>
    <row r="609" spans="1:8" ht="33" customHeight="1" hidden="1">
      <c r="A609" s="23" t="s">
        <v>188</v>
      </c>
      <c r="B609" s="24" t="s">
        <v>365</v>
      </c>
      <c r="C609" s="24" t="s">
        <v>365</v>
      </c>
      <c r="D609" s="11" t="s">
        <v>851</v>
      </c>
      <c r="E609" s="11" t="s">
        <v>158</v>
      </c>
      <c r="F609" s="56">
        <f>G609+H609</f>
        <v>0</v>
      </c>
      <c r="G609" s="56">
        <f>G610</f>
        <v>0</v>
      </c>
      <c r="H609" s="56">
        <f>H610</f>
        <v>0</v>
      </c>
    </row>
    <row r="610" spans="1:8" ht="47.25" customHeight="1" hidden="1">
      <c r="A610" s="44" t="s">
        <v>189</v>
      </c>
      <c r="B610" s="24" t="s">
        <v>365</v>
      </c>
      <c r="C610" s="24" t="s">
        <v>365</v>
      </c>
      <c r="D610" s="11" t="s">
        <v>854</v>
      </c>
      <c r="E610" s="11" t="s">
        <v>190</v>
      </c>
      <c r="F610" s="56">
        <f>G610+H610</f>
        <v>0</v>
      </c>
      <c r="G610" s="56"/>
      <c r="H610" s="56"/>
    </row>
    <row r="611" spans="1:9" ht="18.75" customHeight="1">
      <c r="A611" s="54" t="s">
        <v>220</v>
      </c>
      <c r="B611" s="16" t="s">
        <v>221</v>
      </c>
      <c r="C611" s="16" t="s">
        <v>149</v>
      </c>
      <c r="D611" s="16" t="s">
        <v>311</v>
      </c>
      <c r="E611" s="16" t="s">
        <v>398</v>
      </c>
      <c r="F611" s="101">
        <f aca="true" t="shared" si="24" ref="F611:F617">G611+H611</f>
        <v>33444.87581</v>
      </c>
      <c r="G611" s="101">
        <f>G612+G617+G629</f>
        <v>1111</v>
      </c>
      <c r="H611" s="101">
        <f>H612+H617+H629</f>
        <v>32333.875809999998</v>
      </c>
      <c r="I611" s="126"/>
    </row>
    <row r="612" spans="1:10" s="125" customFormat="1" ht="17.25" customHeight="1">
      <c r="A612" s="35" t="s">
        <v>143</v>
      </c>
      <c r="B612" s="51" t="s">
        <v>221</v>
      </c>
      <c r="C612" s="51" t="s">
        <v>149</v>
      </c>
      <c r="D612" s="51" t="s">
        <v>311</v>
      </c>
      <c r="E612" s="51" t="s">
        <v>398</v>
      </c>
      <c r="F612" s="98">
        <f t="shared" si="24"/>
        <v>901</v>
      </c>
      <c r="G612" s="98">
        <f>G613</f>
        <v>901</v>
      </c>
      <c r="H612" s="98">
        <f>H613</f>
        <v>0</v>
      </c>
      <c r="I612" s="154"/>
      <c r="J612" s="154"/>
    </row>
    <row r="613" spans="1:9" ht="33" customHeight="1">
      <c r="A613" s="23" t="s">
        <v>568</v>
      </c>
      <c r="B613" s="11" t="s">
        <v>221</v>
      </c>
      <c r="C613" s="11" t="s">
        <v>149</v>
      </c>
      <c r="D613" s="11" t="s">
        <v>90</v>
      </c>
      <c r="E613" s="11" t="s">
        <v>398</v>
      </c>
      <c r="F613" s="56">
        <f t="shared" si="24"/>
        <v>901</v>
      </c>
      <c r="G613" s="56">
        <f>G614</f>
        <v>901</v>
      </c>
      <c r="H613" s="56">
        <f>H614</f>
        <v>0</v>
      </c>
      <c r="I613" s="126"/>
    </row>
    <row r="614" spans="1:8" ht="50.25" customHeight="1">
      <c r="A614" s="23" t="s">
        <v>144</v>
      </c>
      <c r="B614" s="11" t="s">
        <v>221</v>
      </c>
      <c r="C614" s="11" t="s">
        <v>149</v>
      </c>
      <c r="D614" s="11" t="s">
        <v>90</v>
      </c>
      <c r="E614" s="11" t="s">
        <v>398</v>
      </c>
      <c r="F614" s="56">
        <f t="shared" si="24"/>
        <v>901</v>
      </c>
      <c r="G614" s="56">
        <f>G615</f>
        <v>901</v>
      </c>
      <c r="H614" s="56">
        <f>H616</f>
        <v>0</v>
      </c>
    </row>
    <row r="615" spans="1:8" ht="31.5" customHeight="1">
      <c r="A615" s="23" t="s">
        <v>202</v>
      </c>
      <c r="B615" s="11" t="s">
        <v>221</v>
      </c>
      <c r="C615" s="11" t="s">
        <v>149</v>
      </c>
      <c r="D615" s="11" t="s">
        <v>90</v>
      </c>
      <c r="E615" s="11" t="s">
        <v>159</v>
      </c>
      <c r="F615" s="56">
        <f t="shared" si="24"/>
        <v>901</v>
      </c>
      <c r="G615" s="56">
        <f>G616</f>
        <v>901</v>
      </c>
      <c r="H615" s="56"/>
    </row>
    <row r="616" spans="1:8" s="143" customFormat="1" ht="32.25" customHeight="1">
      <c r="A616" s="23" t="s">
        <v>203</v>
      </c>
      <c r="B616" s="11" t="s">
        <v>221</v>
      </c>
      <c r="C616" s="11" t="s">
        <v>149</v>
      </c>
      <c r="D616" s="11" t="s">
        <v>90</v>
      </c>
      <c r="E616" s="11" t="s">
        <v>204</v>
      </c>
      <c r="F616" s="56">
        <f t="shared" si="24"/>
        <v>901</v>
      </c>
      <c r="G616" s="99">
        <f>831+70</f>
        <v>901</v>
      </c>
      <c r="H616" s="101"/>
    </row>
    <row r="617" spans="1:8" s="143" customFormat="1" ht="18.75" customHeight="1">
      <c r="A617" s="35" t="s">
        <v>569</v>
      </c>
      <c r="B617" s="51" t="s">
        <v>221</v>
      </c>
      <c r="C617" s="51" t="s">
        <v>156</v>
      </c>
      <c r="D617" s="51" t="s">
        <v>311</v>
      </c>
      <c r="E617" s="51" t="s">
        <v>398</v>
      </c>
      <c r="F617" s="98">
        <f t="shared" si="24"/>
        <v>1041.378</v>
      </c>
      <c r="G617" s="98">
        <f>G618+G621+G626</f>
        <v>210</v>
      </c>
      <c r="H617" s="98">
        <f>H618+H624</f>
        <v>831.3779999999999</v>
      </c>
    </row>
    <row r="618" spans="1:8" s="143" customFormat="1" ht="97.5" customHeight="1">
      <c r="A618" s="27" t="s">
        <v>570</v>
      </c>
      <c r="B618" s="24" t="s">
        <v>221</v>
      </c>
      <c r="C618" s="24" t="s">
        <v>156</v>
      </c>
      <c r="D618" s="24" t="s">
        <v>53</v>
      </c>
      <c r="E618" s="24" t="s">
        <v>398</v>
      </c>
      <c r="F618" s="57">
        <f>H618</f>
        <v>831.3779999999999</v>
      </c>
      <c r="G618" s="57"/>
      <c r="H618" s="57">
        <f>H619+H621</f>
        <v>831.3779999999999</v>
      </c>
    </row>
    <row r="619" spans="1:8" s="143" customFormat="1" ht="33" customHeight="1">
      <c r="A619" s="23" t="s">
        <v>202</v>
      </c>
      <c r="B619" s="11" t="s">
        <v>221</v>
      </c>
      <c r="C619" s="11" t="s">
        <v>156</v>
      </c>
      <c r="D619" s="11" t="s">
        <v>804</v>
      </c>
      <c r="E619" s="11" t="s">
        <v>159</v>
      </c>
      <c r="F619" s="56">
        <f>H619</f>
        <v>831.3779999999999</v>
      </c>
      <c r="G619" s="56"/>
      <c r="H619" s="56">
        <f>H620</f>
        <v>831.3779999999999</v>
      </c>
    </row>
    <row r="620" spans="1:8" s="143" customFormat="1" ht="36" customHeight="1">
      <c r="A620" s="23" t="s">
        <v>205</v>
      </c>
      <c r="B620" s="11" t="s">
        <v>221</v>
      </c>
      <c r="C620" s="11" t="s">
        <v>156</v>
      </c>
      <c r="D620" s="11" t="s">
        <v>804</v>
      </c>
      <c r="E620" s="11" t="s">
        <v>206</v>
      </c>
      <c r="F620" s="56">
        <f>H620</f>
        <v>831.3779999999999</v>
      </c>
      <c r="G620" s="56"/>
      <c r="H620" s="56">
        <f>1130-298.622</f>
        <v>831.3779999999999</v>
      </c>
    </row>
    <row r="621" spans="1:8" s="125" customFormat="1" ht="57" customHeight="1">
      <c r="A621" s="27" t="s">
        <v>755</v>
      </c>
      <c r="B621" s="24" t="s">
        <v>221</v>
      </c>
      <c r="C621" s="24" t="s">
        <v>156</v>
      </c>
      <c r="D621" s="24" t="s">
        <v>91</v>
      </c>
      <c r="E621" s="24" t="s">
        <v>398</v>
      </c>
      <c r="F621" s="57">
        <f>G621+H621</f>
        <v>40</v>
      </c>
      <c r="G621" s="57">
        <f>G622</f>
        <v>40</v>
      </c>
      <c r="H621" s="57">
        <f>H623</f>
        <v>0</v>
      </c>
    </row>
    <row r="622" spans="1:8" s="125" customFormat="1" ht="32.25" customHeight="1">
      <c r="A622" s="23" t="s">
        <v>202</v>
      </c>
      <c r="B622" s="11" t="s">
        <v>221</v>
      </c>
      <c r="C622" s="11" t="s">
        <v>156</v>
      </c>
      <c r="D622" s="11" t="s">
        <v>92</v>
      </c>
      <c r="E622" s="11" t="s">
        <v>159</v>
      </c>
      <c r="F622" s="56">
        <f>G622</f>
        <v>40</v>
      </c>
      <c r="G622" s="56">
        <f>G623</f>
        <v>40</v>
      </c>
      <c r="H622" s="56"/>
    </row>
    <row r="623" spans="1:8" ht="31.5" customHeight="1">
      <c r="A623" s="23" t="s">
        <v>205</v>
      </c>
      <c r="B623" s="11" t="s">
        <v>221</v>
      </c>
      <c r="C623" s="11" t="s">
        <v>156</v>
      </c>
      <c r="D623" s="11" t="s">
        <v>92</v>
      </c>
      <c r="E623" s="11" t="s">
        <v>206</v>
      </c>
      <c r="F623" s="56">
        <f>G623+H623</f>
        <v>40</v>
      </c>
      <c r="G623" s="56">
        <f>200-160</f>
        <v>40</v>
      </c>
      <c r="H623" s="56"/>
    </row>
    <row r="624" spans="1:8" ht="31.5" customHeight="1">
      <c r="A624" s="23" t="s">
        <v>152</v>
      </c>
      <c r="B624" s="11" t="s">
        <v>221</v>
      </c>
      <c r="C624" s="11" t="s">
        <v>156</v>
      </c>
      <c r="D624" s="11" t="s">
        <v>311</v>
      </c>
      <c r="E624" s="11" t="s">
        <v>398</v>
      </c>
      <c r="F624" s="56">
        <f>G624+H624</f>
        <v>170</v>
      </c>
      <c r="G624" s="56">
        <f aca="true" t="shared" si="25" ref="G624:H627">G625</f>
        <v>170</v>
      </c>
      <c r="H624" s="56">
        <f t="shared" si="25"/>
        <v>0</v>
      </c>
    </row>
    <row r="625" spans="1:8" ht="46.5" customHeight="1">
      <c r="A625" s="23" t="s">
        <v>153</v>
      </c>
      <c r="B625" s="11" t="s">
        <v>221</v>
      </c>
      <c r="C625" s="11" t="s">
        <v>156</v>
      </c>
      <c r="D625" s="11" t="s">
        <v>311</v>
      </c>
      <c r="E625" s="11" t="s">
        <v>398</v>
      </c>
      <c r="F625" s="56">
        <f>F626</f>
        <v>170</v>
      </c>
      <c r="G625" s="56">
        <f t="shared" si="25"/>
        <v>170</v>
      </c>
      <c r="H625" s="56">
        <f t="shared" si="25"/>
        <v>0</v>
      </c>
    </row>
    <row r="626" spans="1:8" ht="63" customHeight="1">
      <c r="A626" s="39" t="s">
        <v>979</v>
      </c>
      <c r="B626" s="24" t="s">
        <v>221</v>
      </c>
      <c r="C626" s="24" t="s">
        <v>156</v>
      </c>
      <c r="D626" s="24" t="s">
        <v>980</v>
      </c>
      <c r="E626" s="24" t="s">
        <v>398</v>
      </c>
      <c r="F626" s="57">
        <f>G626+H626</f>
        <v>170</v>
      </c>
      <c r="G626" s="57">
        <f t="shared" si="25"/>
        <v>170</v>
      </c>
      <c r="H626" s="57"/>
    </row>
    <row r="627" spans="1:8" ht="33" customHeight="1">
      <c r="A627" s="23" t="s">
        <v>202</v>
      </c>
      <c r="B627" s="11" t="s">
        <v>221</v>
      </c>
      <c r="C627" s="11" t="s">
        <v>156</v>
      </c>
      <c r="D627" s="11" t="s">
        <v>980</v>
      </c>
      <c r="E627" s="11" t="s">
        <v>159</v>
      </c>
      <c r="F627" s="56">
        <f>G627+H627</f>
        <v>170</v>
      </c>
      <c r="G627" s="56">
        <f t="shared" si="25"/>
        <v>170</v>
      </c>
      <c r="H627" s="56"/>
    </row>
    <row r="628" spans="1:8" ht="30.75" customHeight="1">
      <c r="A628" s="23" t="s">
        <v>205</v>
      </c>
      <c r="B628" s="11" t="s">
        <v>221</v>
      </c>
      <c r="C628" s="11" t="s">
        <v>156</v>
      </c>
      <c r="D628" s="11" t="s">
        <v>980</v>
      </c>
      <c r="E628" s="11" t="s">
        <v>206</v>
      </c>
      <c r="F628" s="56">
        <f>G628+H628</f>
        <v>170</v>
      </c>
      <c r="G628" s="56">
        <f>10+70+20+70</f>
        <v>170</v>
      </c>
      <c r="H628" s="56"/>
    </row>
    <row r="629" spans="1:8" ht="18.75" customHeight="1">
      <c r="A629" s="35" t="s">
        <v>391</v>
      </c>
      <c r="B629" s="51" t="s">
        <v>221</v>
      </c>
      <c r="C629" s="51" t="s">
        <v>160</v>
      </c>
      <c r="D629" s="51" t="s">
        <v>311</v>
      </c>
      <c r="E629" s="51" t="s">
        <v>398</v>
      </c>
      <c r="F629" s="98">
        <f aca="true" t="shared" si="26" ref="F629:F634">G629+H629</f>
        <v>31502.497809999997</v>
      </c>
      <c r="G629" s="98">
        <f>G641</f>
        <v>0</v>
      </c>
      <c r="H629" s="98">
        <f>H630+H635+H640</f>
        <v>31502.497809999997</v>
      </c>
    </row>
    <row r="630" spans="1:8" ht="47.25" customHeight="1">
      <c r="A630" s="27" t="s">
        <v>453</v>
      </c>
      <c r="B630" s="11" t="s">
        <v>221</v>
      </c>
      <c r="C630" s="11" t="s">
        <v>160</v>
      </c>
      <c r="D630" s="11" t="s">
        <v>35</v>
      </c>
      <c r="E630" s="11" t="s">
        <v>398</v>
      </c>
      <c r="F630" s="56">
        <f t="shared" si="26"/>
        <v>4493.032999999999</v>
      </c>
      <c r="G630" s="56">
        <f>G631</f>
        <v>0</v>
      </c>
      <c r="H630" s="56">
        <f>H631</f>
        <v>4493.032999999999</v>
      </c>
    </row>
    <row r="631" spans="1:8" ht="33" customHeight="1">
      <c r="A631" s="28" t="s">
        <v>93</v>
      </c>
      <c r="B631" s="11" t="s">
        <v>221</v>
      </c>
      <c r="C631" s="11" t="s">
        <v>160</v>
      </c>
      <c r="D631" s="11" t="s">
        <v>48</v>
      </c>
      <c r="E631" s="11" t="s">
        <v>398</v>
      </c>
      <c r="F631" s="56">
        <f t="shared" si="26"/>
        <v>4493.032999999999</v>
      </c>
      <c r="G631" s="56">
        <f>G632</f>
        <v>0</v>
      </c>
      <c r="H631" s="56">
        <f>H632</f>
        <v>4493.032999999999</v>
      </c>
    </row>
    <row r="632" spans="1:10" ht="79.5" customHeight="1">
      <c r="A632" s="27" t="s">
        <v>223</v>
      </c>
      <c r="B632" s="11" t="s">
        <v>221</v>
      </c>
      <c r="C632" s="11" t="s">
        <v>160</v>
      </c>
      <c r="D632" s="11" t="s">
        <v>94</v>
      </c>
      <c r="E632" s="11" t="s">
        <v>398</v>
      </c>
      <c r="F632" s="56">
        <f t="shared" si="26"/>
        <v>4493.032999999999</v>
      </c>
      <c r="G632" s="56">
        <f>G634</f>
        <v>0</v>
      </c>
      <c r="H632" s="56">
        <f>H634+H633</f>
        <v>4493.032999999999</v>
      </c>
      <c r="J632" s="126"/>
    </row>
    <row r="633" spans="1:9" ht="47.25" customHeight="1">
      <c r="A633" s="44" t="s">
        <v>189</v>
      </c>
      <c r="B633" s="11" t="s">
        <v>221</v>
      </c>
      <c r="C633" s="11" t="s">
        <v>160</v>
      </c>
      <c r="D633" s="11" t="s">
        <v>94</v>
      </c>
      <c r="E633" s="11" t="s">
        <v>190</v>
      </c>
      <c r="F633" s="56">
        <f t="shared" si="26"/>
        <v>67.3955</v>
      </c>
      <c r="G633" s="56"/>
      <c r="H633" s="56">
        <f>82.3955-15</f>
        <v>67.3955</v>
      </c>
      <c r="I633" s="133"/>
    </row>
    <row r="634" spans="1:9" ht="35.25" customHeight="1">
      <c r="A634" s="23" t="s">
        <v>203</v>
      </c>
      <c r="B634" s="11" t="s">
        <v>221</v>
      </c>
      <c r="C634" s="11" t="s">
        <v>160</v>
      </c>
      <c r="D634" s="11" t="s">
        <v>94</v>
      </c>
      <c r="E634" s="11" t="s">
        <v>204</v>
      </c>
      <c r="F634" s="56">
        <f t="shared" si="26"/>
        <v>4425.6375</v>
      </c>
      <c r="G634" s="56"/>
      <c r="H634" s="56">
        <f>5410.6375-985</f>
        <v>4425.6375</v>
      </c>
      <c r="I634" s="126"/>
    </row>
    <row r="635" spans="1:8" ht="48" customHeight="1">
      <c r="A635" s="27" t="s">
        <v>453</v>
      </c>
      <c r="B635" s="24" t="s">
        <v>221</v>
      </c>
      <c r="C635" s="24" t="s">
        <v>160</v>
      </c>
      <c r="D635" s="24" t="s">
        <v>35</v>
      </c>
      <c r="E635" s="24" t="s">
        <v>398</v>
      </c>
      <c r="F635" s="57">
        <f aca="true" t="shared" si="27" ref="F635:F645">H635</f>
        <v>300</v>
      </c>
      <c r="G635" s="57">
        <v>0</v>
      </c>
      <c r="H635" s="57">
        <f>H636</f>
        <v>300</v>
      </c>
    </row>
    <row r="636" spans="1:8" ht="34.5" customHeight="1">
      <c r="A636" s="113" t="s">
        <v>444</v>
      </c>
      <c r="B636" s="24" t="s">
        <v>221</v>
      </c>
      <c r="C636" s="24" t="s">
        <v>160</v>
      </c>
      <c r="D636" s="24" t="s">
        <v>70</v>
      </c>
      <c r="E636" s="24" t="s">
        <v>398</v>
      </c>
      <c r="F636" s="57">
        <f t="shared" si="27"/>
        <v>300</v>
      </c>
      <c r="G636" s="57">
        <v>0</v>
      </c>
      <c r="H636" s="57">
        <f>H637</f>
        <v>300</v>
      </c>
    </row>
    <row r="637" spans="1:8" ht="61.5" customHeight="1">
      <c r="A637" s="27" t="s">
        <v>690</v>
      </c>
      <c r="B637" s="11" t="s">
        <v>221</v>
      </c>
      <c r="C637" s="11" t="s">
        <v>160</v>
      </c>
      <c r="D637" s="24" t="s">
        <v>70</v>
      </c>
      <c r="E637" s="24" t="s">
        <v>398</v>
      </c>
      <c r="F637" s="56">
        <f t="shared" si="27"/>
        <v>300</v>
      </c>
      <c r="G637" s="56">
        <v>0</v>
      </c>
      <c r="H637" s="56">
        <f>H638</f>
        <v>300</v>
      </c>
    </row>
    <row r="638" spans="1:8" ht="35.25" customHeight="1">
      <c r="A638" s="44" t="s">
        <v>202</v>
      </c>
      <c r="B638" s="11" t="s">
        <v>221</v>
      </c>
      <c r="C638" s="11" t="s">
        <v>160</v>
      </c>
      <c r="D638" s="11" t="s">
        <v>71</v>
      </c>
      <c r="E638" s="11" t="s">
        <v>159</v>
      </c>
      <c r="F638" s="56">
        <f t="shared" si="27"/>
        <v>300</v>
      </c>
      <c r="G638" s="56">
        <v>0</v>
      </c>
      <c r="H638" s="56">
        <f>H639</f>
        <v>300</v>
      </c>
    </row>
    <row r="639" spans="1:8" ht="32.25" customHeight="1">
      <c r="A639" s="44" t="s">
        <v>203</v>
      </c>
      <c r="B639" s="11" t="s">
        <v>221</v>
      </c>
      <c r="C639" s="11" t="s">
        <v>160</v>
      </c>
      <c r="D639" s="11" t="s">
        <v>71</v>
      </c>
      <c r="E639" s="11" t="s">
        <v>204</v>
      </c>
      <c r="F639" s="56">
        <f t="shared" si="27"/>
        <v>300</v>
      </c>
      <c r="G639" s="56">
        <v>0</v>
      </c>
      <c r="H639" s="56">
        <v>300</v>
      </c>
    </row>
    <row r="640" spans="1:8" ht="131.25" customHeight="1">
      <c r="A640" s="35" t="s">
        <v>772</v>
      </c>
      <c r="B640" s="51" t="s">
        <v>221</v>
      </c>
      <c r="C640" s="51" t="s">
        <v>160</v>
      </c>
      <c r="D640" s="51" t="s">
        <v>733</v>
      </c>
      <c r="E640" s="51" t="s">
        <v>398</v>
      </c>
      <c r="F640" s="98">
        <f>G640+H640</f>
        <v>26709.464809999998</v>
      </c>
      <c r="G640" s="98">
        <f>G641+G654+G660</f>
        <v>0</v>
      </c>
      <c r="H640" s="98">
        <f>H641+H646+H654+H660</f>
        <v>26709.464809999998</v>
      </c>
    </row>
    <row r="641" spans="1:10" ht="81" customHeight="1">
      <c r="A641" s="39" t="s">
        <v>842</v>
      </c>
      <c r="B641" s="24" t="s">
        <v>221</v>
      </c>
      <c r="C641" s="24" t="s">
        <v>160</v>
      </c>
      <c r="D641" s="24" t="s">
        <v>739</v>
      </c>
      <c r="E641" s="24" t="s">
        <v>398</v>
      </c>
      <c r="F641" s="57">
        <f t="shared" si="27"/>
        <v>2942.85</v>
      </c>
      <c r="G641" s="57"/>
      <c r="H641" s="57">
        <f>H642+H644</f>
        <v>2942.85</v>
      </c>
      <c r="J641" s="126"/>
    </row>
    <row r="642" spans="1:8" ht="37.5" customHeight="1">
      <c r="A642" s="23" t="s">
        <v>188</v>
      </c>
      <c r="B642" s="11" t="s">
        <v>221</v>
      </c>
      <c r="C642" s="11" t="s">
        <v>160</v>
      </c>
      <c r="D642" s="11" t="s">
        <v>739</v>
      </c>
      <c r="E642" s="11" t="s">
        <v>158</v>
      </c>
      <c r="F642" s="56">
        <f>G642+H642</f>
        <v>340.23</v>
      </c>
      <c r="G642" s="57"/>
      <c r="H642" s="56">
        <f>H643</f>
        <v>340.23</v>
      </c>
    </row>
    <row r="643" spans="1:8" ht="52.5" customHeight="1">
      <c r="A643" s="44" t="s">
        <v>189</v>
      </c>
      <c r="B643" s="11" t="s">
        <v>221</v>
      </c>
      <c r="C643" s="11" t="s">
        <v>160</v>
      </c>
      <c r="D643" s="11" t="s">
        <v>739</v>
      </c>
      <c r="E643" s="11" t="s">
        <v>190</v>
      </c>
      <c r="F643" s="56">
        <f>G643+H643</f>
        <v>340.23</v>
      </c>
      <c r="G643" s="57"/>
      <c r="H643" s="56">
        <f>213.52+126.71</f>
        <v>340.23</v>
      </c>
    </row>
    <row r="644" spans="1:9" ht="48.75" customHeight="1">
      <c r="A644" s="44" t="s">
        <v>571</v>
      </c>
      <c r="B644" s="11" t="s">
        <v>221</v>
      </c>
      <c r="C644" s="11" t="s">
        <v>160</v>
      </c>
      <c r="D644" s="11" t="s">
        <v>739</v>
      </c>
      <c r="E644" s="11" t="s">
        <v>572</v>
      </c>
      <c r="F644" s="56">
        <f t="shared" si="27"/>
        <v>2602.62</v>
      </c>
      <c r="G644" s="56"/>
      <c r="H644" s="56">
        <f>H645</f>
        <v>2602.62</v>
      </c>
      <c r="I644" s="126"/>
    </row>
    <row r="645" spans="1:9" ht="17.25" customHeight="1">
      <c r="A645" s="44" t="s">
        <v>573</v>
      </c>
      <c r="B645" s="11" t="s">
        <v>221</v>
      </c>
      <c r="C645" s="11" t="s">
        <v>160</v>
      </c>
      <c r="D645" s="11" t="s">
        <v>739</v>
      </c>
      <c r="E645" s="11" t="s">
        <v>574</v>
      </c>
      <c r="F645" s="56">
        <f t="shared" si="27"/>
        <v>2602.62</v>
      </c>
      <c r="G645" s="56"/>
      <c r="H645" s="56">
        <f>3600.54939-571.21939-126.71-300</f>
        <v>2602.62</v>
      </c>
      <c r="I645" s="133"/>
    </row>
    <row r="646" spans="1:9" ht="93" customHeight="1">
      <c r="A646" s="39" t="s">
        <v>843</v>
      </c>
      <c r="B646" s="11" t="s">
        <v>221</v>
      </c>
      <c r="C646" s="11" t="s">
        <v>160</v>
      </c>
      <c r="D646" s="24" t="s">
        <v>832</v>
      </c>
      <c r="E646" s="24" t="s">
        <v>398</v>
      </c>
      <c r="F646" s="57">
        <f>H646</f>
        <v>12504.1824</v>
      </c>
      <c r="G646" s="57"/>
      <c r="H646" s="57">
        <f>H647+H649</f>
        <v>12504.1824</v>
      </c>
      <c r="I646" s="133"/>
    </row>
    <row r="647" spans="1:9" ht="45.75" customHeight="1">
      <c r="A647" s="44" t="s">
        <v>571</v>
      </c>
      <c r="B647" s="11" t="s">
        <v>221</v>
      </c>
      <c r="C647" s="11" t="s">
        <v>160</v>
      </c>
      <c r="D647" s="11" t="s">
        <v>832</v>
      </c>
      <c r="E647" s="11" t="s">
        <v>572</v>
      </c>
      <c r="F647" s="56">
        <f>H647</f>
        <v>12504.1824</v>
      </c>
      <c r="G647" s="56"/>
      <c r="H647" s="56">
        <f>H648</f>
        <v>12504.1824</v>
      </c>
      <c r="I647" s="133"/>
    </row>
    <row r="648" spans="1:9" ht="17.25" customHeight="1">
      <c r="A648" s="44" t="s">
        <v>573</v>
      </c>
      <c r="B648" s="11" t="s">
        <v>221</v>
      </c>
      <c r="C648" s="11" t="s">
        <v>160</v>
      </c>
      <c r="D648" s="11" t="s">
        <v>832</v>
      </c>
      <c r="E648" s="11" t="s">
        <v>574</v>
      </c>
      <c r="F648" s="56">
        <f>H648</f>
        <v>12504.1824</v>
      </c>
      <c r="G648" s="56"/>
      <c r="H648" s="56">
        <f>9339.59292+389.14971+4302.72-1362.34263-164.9376</f>
        <v>12504.1824</v>
      </c>
      <c r="I648" s="133"/>
    </row>
    <row r="649" spans="1:9" ht="17.25" customHeight="1" hidden="1">
      <c r="A649" s="44"/>
      <c r="B649" s="11"/>
      <c r="C649" s="11"/>
      <c r="D649" s="11"/>
      <c r="E649" s="11"/>
      <c r="F649" s="56"/>
      <c r="G649" s="56"/>
      <c r="H649" s="56"/>
      <c r="I649" s="133"/>
    </row>
    <row r="650" spans="1:9" ht="17.25" customHeight="1" hidden="1">
      <c r="A650" s="44"/>
      <c r="B650" s="11"/>
      <c r="C650" s="11"/>
      <c r="D650" s="11"/>
      <c r="E650" s="11"/>
      <c r="F650" s="56"/>
      <c r="G650" s="56"/>
      <c r="H650" s="56"/>
      <c r="I650" s="133"/>
    </row>
    <row r="651" spans="1:9" ht="17.25" customHeight="1" hidden="1">
      <c r="A651" s="44"/>
      <c r="B651" s="11"/>
      <c r="C651" s="11"/>
      <c r="D651" s="11"/>
      <c r="E651" s="11"/>
      <c r="F651" s="56"/>
      <c r="G651" s="56"/>
      <c r="H651" s="56"/>
      <c r="I651" s="133"/>
    </row>
    <row r="652" spans="1:9" ht="17.25" customHeight="1" hidden="1">
      <c r="A652" s="44"/>
      <c r="B652" s="11"/>
      <c r="C652" s="11"/>
      <c r="D652" s="11"/>
      <c r="E652" s="11"/>
      <c r="F652" s="56"/>
      <c r="G652" s="56"/>
      <c r="H652" s="56"/>
      <c r="I652" s="133"/>
    </row>
    <row r="653" spans="1:9" ht="17.25" customHeight="1" hidden="1">
      <c r="A653" s="44"/>
      <c r="B653" s="11"/>
      <c r="C653" s="11"/>
      <c r="D653" s="11"/>
      <c r="E653" s="11"/>
      <c r="F653" s="56"/>
      <c r="G653" s="56"/>
      <c r="H653" s="56"/>
      <c r="I653" s="133"/>
    </row>
    <row r="654" spans="1:10" ht="115.5" customHeight="1">
      <c r="A654" s="27" t="s">
        <v>638</v>
      </c>
      <c r="B654" s="24" t="s">
        <v>221</v>
      </c>
      <c r="C654" s="24" t="s">
        <v>160</v>
      </c>
      <c r="D654" s="11" t="s">
        <v>737</v>
      </c>
      <c r="E654" s="24" t="s">
        <v>398</v>
      </c>
      <c r="F654" s="57">
        <f aca="true" t="shared" si="28" ref="F654:F671">G654+H654</f>
        <v>11262.43241</v>
      </c>
      <c r="G654" s="57"/>
      <c r="H654" s="57">
        <f>H655+H657</f>
        <v>11262.43241</v>
      </c>
      <c r="I654" s="318"/>
      <c r="J654" s="153"/>
    </row>
    <row r="655" spans="1:9" ht="36.75" customHeight="1">
      <c r="A655" s="23" t="s">
        <v>188</v>
      </c>
      <c r="B655" s="11" t="s">
        <v>221</v>
      </c>
      <c r="C655" s="11" t="s">
        <v>160</v>
      </c>
      <c r="D655" s="11" t="s">
        <v>737</v>
      </c>
      <c r="E655" s="11" t="s">
        <v>158</v>
      </c>
      <c r="F655" s="56">
        <f>H655</f>
        <v>103.53807</v>
      </c>
      <c r="G655" s="56"/>
      <c r="H655" s="56">
        <f>H656</f>
        <v>103.53807</v>
      </c>
      <c r="I655" s="133"/>
    </row>
    <row r="656" spans="1:9" ht="50.25" customHeight="1">
      <c r="A656" s="44" t="s">
        <v>189</v>
      </c>
      <c r="B656" s="11" t="s">
        <v>221</v>
      </c>
      <c r="C656" s="11" t="s">
        <v>160</v>
      </c>
      <c r="D656" s="11" t="s">
        <v>737</v>
      </c>
      <c r="E656" s="11" t="s">
        <v>190</v>
      </c>
      <c r="F656" s="56">
        <f>H656</f>
        <v>103.53807</v>
      </c>
      <c r="G656" s="56"/>
      <c r="H656" s="56">
        <f>150-46.46193</f>
        <v>103.53807</v>
      </c>
      <c r="I656" s="133"/>
    </row>
    <row r="657" spans="1:9" ht="30" customHeight="1">
      <c r="A657" s="23" t="s">
        <v>202</v>
      </c>
      <c r="B657" s="11" t="s">
        <v>221</v>
      </c>
      <c r="C657" s="11" t="s">
        <v>160</v>
      </c>
      <c r="D657" s="11" t="s">
        <v>737</v>
      </c>
      <c r="E657" s="11" t="s">
        <v>159</v>
      </c>
      <c r="F657" s="56">
        <f t="shared" si="28"/>
        <v>11158.894339999999</v>
      </c>
      <c r="G657" s="56"/>
      <c r="H657" s="56">
        <f>H658+H659</f>
        <v>11158.894339999999</v>
      </c>
      <c r="I657" s="133"/>
    </row>
    <row r="658" spans="1:9" ht="30.75" customHeight="1">
      <c r="A658" s="44" t="s">
        <v>203</v>
      </c>
      <c r="B658" s="11" t="s">
        <v>221</v>
      </c>
      <c r="C658" s="11" t="s">
        <v>160</v>
      </c>
      <c r="D658" s="11" t="s">
        <v>737</v>
      </c>
      <c r="E658" s="11" t="s">
        <v>204</v>
      </c>
      <c r="F658" s="56">
        <f t="shared" si="28"/>
        <v>9375.788869999998</v>
      </c>
      <c r="G658" s="56"/>
      <c r="H658" s="56">
        <f>9891.28906+240.04467-755.54486</f>
        <v>9375.788869999998</v>
      </c>
      <c r="I658" s="133"/>
    </row>
    <row r="659" spans="1:9" ht="30.75" customHeight="1">
      <c r="A659" s="23" t="s">
        <v>205</v>
      </c>
      <c r="B659" s="11" t="s">
        <v>221</v>
      </c>
      <c r="C659" s="11" t="s">
        <v>160</v>
      </c>
      <c r="D659" s="11" t="s">
        <v>737</v>
      </c>
      <c r="E659" s="11" t="s">
        <v>206</v>
      </c>
      <c r="F659" s="56">
        <f t="shared" si="28"/>
        <v>1783.10547</v>
      </c>
      <c r="G659" s="56"/>
      <c r="H659" s="56">
        <f>2200-390.63453-26.26</f>
        <v>1783.10547</v>
      </c>
      <c r="I659" s="133"/>
    </row>
    <row r="660" spans="1:10" ht="94.5" customHeight="1" hidden="1">
      <c r="A660" s="27" t="s">
        <v>640</v>
      </c>
      <c r="B660" s="24" t="s">
        <v>221</v>
      </c>
      <c r="C660" s="24" t="s">
        <v>160</v>
      </c>
      <c r="D660" s="11" t="s">
        <v>738</v>
      </c>
      <c r="E660" s="24" t="s">
        <v>398</v>
      </c>
      <c r="F660" s="57">
        <f t="shared" si="28"/>
        <v>0</v>
      </c>
      <c r="G660" s="57"/>
      <c r="H660" s="57">
        <f>H661+H663</f>
        <v>0</v>
      </c>
      <c r="I660" s="133"/>
      <c r="J660" s="133"/>
    </row>
    <row r="661" spans="1:9" ht="36.75" customHeight="1" hidden="1">
      <c r="A661" s="23" t="s">
        <v>188</v>
      </c>
      <c r="B661" s="11" t="s">
        <v>221</v>
      </c>
      <c r="C661" s="11" t="s">
        <v>160</v>
      </c>
      <c r="D661" s="11" t="s">
        <v>738</v>
      </c>
      <c r="E661" s="11" t="s">
        <v>158</v>
      </c>
      <c r="F661" s="56">
        <f>H661</f>
        <v>0</v>
      </c>
      <c r="G661" s="56"/>
      <c r="H661" s="56">
        <f>H662</f>
        <v>0</v>
      </c>
      <c r="I661" s="133"/>
    </row>
    <row r="662" spans="1:9" ht="50.25" customHeight="1" hidden="1">
      <c r="A662" s="44" t="s">
        <v>189</v>
      </c>
      <c r="B662" s="11" t="s">
        <v>221</v>
      </c>
      <c r="C662" s="11" t="s">
        <v>160</v>
      </c>
      <c r="D662" s="11" t="s">
        <v>738</v>
      </c>
      <c r="E662" s="11" t="s">
        <v>190</v>
      </c>
      <c r="F662" s="56">
        <f>H662</f>
        <v>0</v>
      </c>
      <c r="G662" s="56"/>
      <c r="H662" s="56">
        <v>0</v>
      </c>
      <c r="I662" s="133"/>
    </row>
    <row r="663" spans="1:9" ht="30.75" customHeight="1" hidden="1">
      <c r="A663" s="23" t="s">
        <v>202</v>
      </c>
      <c r="B663" s="11" t="s">
        <v>221</v>
      </c>
      <c r="C663" s="11" t="s">
        <v>160</v>
      </c>
      <c r="D663" s="11" t="s">
        <v>738</v>
      </c>
      <c r="E663" s="11" t="s">
        <v>159</v>
      </c>
      <c r="F663" s="56">
        <f t="shared" si="28"/>
        <v>0</v>
      </c>
      <c r="G663" s="56"/>
      <c r="H663" s="56">
        <f>H664</f>
        <v>0</v>
      </c>
      <c r="I663" s="133"/>
    </row>
    <row r="664" spans="1:9" ht="32.25" customHeight="1" hidden="1">
      <c r="A664" s="44" t="s">
        <v>203</v>
      </c>
      <c r="B664" s="11" t="s">
        <v>221</v>
      </c>
      <c r="C664" s="11" t="s">
        <v>160</v>
      </c>
      <c r="D664" s="11" t="s">
        <v>738</v>
      </c>
      <c r="E664" s="11" t="s">
        <v>204</v>
      </c>
      <c r="F664" s="56">
        <f t="shared" si="28"/>
        <v>0</v>
      </c>
      <c r="G664" s="56"/>
      <c r="H664" s="56">
        <v>0</v>
      </c>
      <c r="I664" s="133"/>
    </row>
    <row r="665" spans="1:8" s="143" customFormat="1" ht="18.75" customHeight="1">
      <c r="A665" s="54" t="s">
        <v>224</v>
      </c>
      <c r="B665" s="16" t="s">
        <v>166</v>
      </c>
      <c r="C665" s="16" t="s">
        <v>150</v>
      </c>
      <c r="D665" s="16" t="s">
        <v>311</v>
      </c>
      <c r="E665" s="16" t="s">
        <v>398</v>
      </c>
      <c r="F665" s="101">
        <f t="shared" si="28"/>
        <v>5428.281780000001</v>
      </c>
      <c r="G665" s="101">
        <f>G666</f>
        <v>2096.4338600000005</v>
      </c>
      <c r="H665" s="101">
        <f>H666</f>
        <v>3331.84792</v>
      </c>
    </row>
    <row r="666" spans="1:8" ht="15.75" customHeight="1">
      <c r="A666" s="23" t="s">
        <v>334</v>
      </c>
      <c r="B666" s="11" t="s">
        <v>166</v>
      </c>
      <c r="C666" s="11" t="s">
        <v>151</v>
      </c>
      <c r="D666" s="11" t="s">
        <v>311</v>
      </c>
      <c r="E666" s="11" t="s">
        <v>398</v>
      </c>
      <c r="F666" s="56">
        <f t="shared" si="28"/>
        <v>5428.281780000001</v>
      </c>
      <c r="G666" s="56">
        <f>G667</f>
        <v>2096.4338600000005</v>
      </c>
      <c r="H666" s="56">
        <f>H667</f>
        <v>3331.84792</v>
      </c>
    </row>
    <row r="667" spans="1:8" ht="50.25" customHeight="1">
      <c r="A667" s="27" t="s">
        <v>458</v>
      </c>
      <c r="B667" s="24" t="s">
        <v>166</v>
      </c>
      <c r="C667" s="24" t="s">
        <v>151</v>
      </c>
      <c r="D667" s="24" t="s">
        <v>95</v>
      </c>
      <c r="E667" s="24" t="s">
        <v>398</v>
      </c>
      <c r="F667" s="57">
        <f t="shared" si="28"/>
        <v>5428.281780000001</v>
      </c>
      <c r="G667" s="57">
        <f>G668+G671+G714+G688+G693+G700+G707</f>
        <v>2096.4338600000005</v>
      </c>
      <c r="H667" s="57">
        <f>H668+H671+H714+H688+H693+H700+H707</f>
        <v>3331.84792</v>
      </c>
    </row>
    <row r="668" spans="1:8" ht="33" customHeight="1">
      <c r="A668" s="23" t="s">
        <v>225</v>
      </c>
      <c r="B668" s="11" t="s">
        <v>166</v>
      </c>
      <c r="C668" s="11" t="s">
        <v>151</v>
      </c>
      <c r="D668" s="11" t="s">
        <v>96</v>
      </c>
      <c r="E668" s="11" t="s">
        <v>398</v>
      </c>
      <c r="F668" s="56">
        <f t="shared" si="28"/>
        <v>214.14100000000002</v>
      </c>
      <c r="G668" s="56">
        <f>G669+G686</f>
        <v>214.14100000000002</v>
      </c>
      <c r="H668" s="56">
        <f>H670</f>
        <v>0</v>
      </c>
    </row>
    <row r="669" spans="1:8" ht="32.25" customHeight="1">
      <c r="A669" s="23" t="s">
        <v>188</v>
      </c>
      <c r="B669" s="11" t="s">
        <v>166</v>
      </c>
      <c r="C669" s="11" t="s">
        <v>151</v>
      </c>
      <c r="D669" s="11" t="s">
        <v>96</v>
      </c>
      <c r="E669" s="11" t="s">
        <v>158</v>
      </c>
      <c r="F669" s="56">
        <f t="shared" si="28"/>
        <v>150</v>
      </c>
      <c r="G669" s="56">
        <f>G670</f>
        <v>150</v>
      </c>
      <c r="H669" s="56"/>
    </row>
    <row r="670" spans="1:8" ht="49.5" customHeight="1">
      <c r="A670" s="44" t="s">
        <v>189</v>
      </c>
      <c r="B670" s="11" t="s">
        <v>166</v>
      </c>
      <c r="C670" s="11" t="s">
        <v>151</v>
      </c>
      <c r="D670" s="11" t="s">
        <v>96</v>
      </c>
      <c r="E670" s="11" t="s">
        <v>190</v>
      </c>
      <c r="F670" s="56">
        <f t="shared" si="28"/>
        <v>150</v>
      </c>
      <c r="G670" s="56">
        <f>150</f>
        <v>150</v>
      </c>
      <c r="H670" s="56"/>
    </row>
    <row r="671" spans="1:8" ht="49.5" customHeight="1" hidden="1">
      <c r="A671" s="55" t="s">
        <v>575</v>
      </c>
      <c r="B671" s="11" t="s">
        <v>166</v>
      </c>
      <c r="C671" s="11" t="s">
        <v>151</v>
      </c>
      <c r="D671" s="11" t="s">
        <v>96</v>
      </c>
      <c r="E671" s="16" t="s">
        <v>398</v>
      </c>
      <c r="F671" s="101">
        <f t="shared" si="28"/>
        <v>0</v>
      </c>
      <c r="G671" s="101">
        <f>G679</f>
        <v>0</v>
      </c>
      <c r="H671" s="101">
        <f>H672</f>
        <v>0</v>
      </c>
    </row>
    <row r="672" spans="1:8" ht="83.25" customHeight="1" hidden="1">
      <c r="A672" s="39" t="s">
        <v>586</v>
      </c>
      <c r="B672" s="11" t="s">
        <v>166</v>
      </c>
      <c r="C672" s="11" t="s">
        <v>151</v>
      </c>
      <c r="D672" s="11" t="s">
        <v>96</v>
      </c>
      <c r="E672" s="24" t="s">
        <v>398</v>
      </c>
      <c r="F672" s="57">
        <f aca="true" t="shared" si="29" ref="F672:F678">H672</f>
        <v>0</v>
      </c>
      <c r="G672" s="57"/>
      <c r="H672" s="57">
        <f>H675+H677</f>
        <v>0</v>
      </c>
    </row>
    <row r="673" spans="1:8" ht="39.75" customHeight="1" hidden="1">
      <c r="A673" s="23" t="s">
        <v>188</v>
      </c>
      <c r="B673" s="11" t="s">
        <v>166</v>
      </c>
      <c r="C673" s="11" t="s">
        <v>151</v>
      </c>
      <c r="D673" s="11" t="s">
        <v>96</v>
      </c>
      <c r="E673" s="11" t="s">
        <v>158</v>
      </c>
      <c r="F673" s="56">
        <f t="shared" si="29"/>
        <v>0</v>
      </c>
      <c r="G673" s="56"/>
      <c r="H673" s="56">
        <f>H674</f>
        <v>0</v>
      </c>
    </row>
    <row r="674" spans="1:8" ht="64.5" customHeight="1" hidden="1">
      <c r="A674" s="44" t="s">
        <v>587</v>
      </c>
      <c r="B674" s="11" t="s">
        <v>166</v>
      </c>
      <c r="C674" s="11" t="s">
        <v>151</v>
      </c>
      <c r="D674" s="11" t="s">
        <v>96</v>
      </c>
      <c r="E674" s="11" t="s">
        <v>190</v>
      </c>
      <c r="F674" s="56">
        <f t="shared" si="29"/>
        <v>0</v>
      </c>
      <c r="G674" s="56"/>
      <c r="H674" s="56">
        <v>0</v>
      </c>
    </row>
    <row r="675" spans="1:8" ht="47.25" customHeight="1" hidden="1">
      <c r="A675" s="44" t="s">
        <v>571</v>
      </c>
      <c r="B675" s="11" t="s">
        <v>166</v>
      </c>
      <c r="C675" s="11" t="s">
        <v>151</v>
      </c>
      <c r="D675" s="11" t="s">
        <v>96</v>
      </c>
      <c r="E675" s="11" t="s">
        <v>572</v>
      </c>
      <c r="F675" s="56">
        <f t="shared" si="29"/>
        <v>0</v>
      </c>
      <c r="G675" s="56"/>
      <c r="H675" s="56">
        <f>H676</f>
        <v>0</v>
      </c>
    </row>
    <row r="676" spans="1:8" ht="15" customHeight="1" hidden="1">
      <c r="A676" s="44" t="s">
        <v>573</v>
      </c>
      <c r="B676" s="11" t="s">
        <v>166</v>
      </c>
      <c r="C676" s="11" t="s">
        <v>151</v>
      </c>
      <c r="D676" s="11" t="s">
        <v>96</v>
      </c>
      <c r="E676" s="11" t="s">
        <v>574</v>
      </c>
      <c r="F676" s="56">
        <f t="shared" si="29"/>
        <v>0</v>
      </c>
      <c r="G676" s="56"/>
      <c r="H676" s="56">
        <v>0</v>
      </c>
    </row>
    <row r="677" spans="1:8" ht="30" customHeight="1" hidden="1">
      <c r="A677" s="23" t="s">
        <v>577</v>
      </c>
      <c r="B677" s="11" t="s">
        <v>166</v>
      </c>
      <c r="C677" s="11" t="s">
        <v>151</v>
      </c>
      <c r="D677" s="11" t="s">
        <v>96</v>
      </c>
      <c r="E677" s="11" t="s">
        <v>212</v>
      </c>
      <c r="F677" s="56">
        <f t="shared" si="29"/>
        <v>0</v>
      </c>
      <c r="G677" s="56"/>
      <c r="H677" s="56">
        <f>H678</f>
        <v>0</v>
      </c>
    </row>
    <row r="678" spans="1:8" ht="19.5" customHeight="1" hidden="1">
      <c r="A678" s="23" t="s">
        <v>176</v>
      </c>
      <c r="B678" s="11" t="s">
        <v>166</v>
      </c>
      <c r="C678" s="11" t="s">
        <v>151</v>
      </c>
      <c r="D678" s="11" t="s">
        <v>96</v>
      </c>
      <c r="E678" s="11" t="s">
        <v>279</v>
      </c>
      <c r="F678" s="56">
        <f t="shared" si="29"/>
        <v>0</v>
      </c>
      <c r="G678" s="56"/>
      <c r="H678" s="56">
        <v>0</v>
      </c>
    </row>
    <row r="679" spans="1:8" ht="97.5" customHeight="1" hidden="1">
      <c r="A679" s="39" t="s">
        <v>588</v>
      </c>
      <c r="B679" s="11" t="s">
        <v>166</v>
      </c>
      <c r="C679" s="11" t="s">
        <v>151</v>
      </c>
      <c r="D679" s="11" t="s">
        <v>96</v>
      </c>
      <c r="E679" s="24" t="s">
        <v>398</v>
      </c>
      <c r="F679" s="57">
        <f aca="true" t="shared" si="30" ref="F679:F685">G679</f>
        <v>0</v>
      </c>
      <c r="G679" s="57">
        <f>G682+G684</f>
        <v>0</v>
      </c>
      <c r="H679" s="57"/>
    </row>
    <row r="680" spans="1:8" ht="38.25" customHeight="1" hidden="1">
      <c r="A680" s="23" t="s">
        <v>188</v>
      </c>
      <c r="B680" s="11" t="s">
        <v>166</v>
      </c>
      <c r="C680" s="11" t="s">
        <v>151</v>
      </c>
      <c r="D680" s="11" t="s">
        <v>96</v>
      </c>
      <c r="E680" s="11" t="s">
        <v>158</v>
      </c>
      <c r="F680" s="56">
        <f t="shared" si="30"/>
        <v>0</v>
      </c>
      <c r="G680" s="56">
        <f>G681</f>
        <v>0</v>
      </c>
      <c r="H680" s="56"/>
    </row>
    <row r="681" spans="1:8" ht="48.75" customHeight="1" hidden="1">
      <c r="A681" s="44" t="s">
        <v>587</v>
      </c>
      <c r="B681" s="11" t="s">
        <v>166</v>
      </c>
      <c r="C681" s="11" t="s">
        <v>151</v>
      </c>
      <c r="D681" s="11" t="s">
        <v>96</v>
      </c>
      <c r="E681" s="11" t="s">
        <v>190</v>
      </c>
      <c r="F681" s="56">
        <f t="shared" si="30"/>
        <v>0</v>
      </c>
      <c r="G681" s="56">
        <v>0</v>
      </c>
      <c r="H681" s="56"/>
    </row>
    <row r="682" spans="1:8" ht="49.5" customHeight="1" hidden="1">
      <c r="A682" s="44" t="s">
        <v>571</v>
      </c>
      <c r="B682" s="11" t="s">
        <v>166</v>
      </c>
      <c r="C682" s="11" t="s">
        <v>151</v>
      </c>
      <c r="D682" s="11" t="s">
        <v>96</v>
      </c>
      <c r="E682" s="11" t="s">
        <v>572</v>
      </c>
      <c r="F682" s="56">
        <f t="shared" si="30"/>
        <v>0</v>
      </c>
      <c r="G682" s="56">
        <f>G683</f>
        <v>0</v>
      </c>
      <c r="H682" s="56"/>
    </row>
    <row r="683" spans="1:8" ht="18" customHeight="1" hidden="1">
      <c r="A683" s="44" t="s">
        <v>573</v>
      </c>
      <c r="B683" s="11" t="s">
        <v>166</v>
      </c>
      <c r="C683" s="11" t="s">
        <v>151</v>
      </c>
      <c r="D683" s="11" t="s">
        <v>96</v>
      </c>
      <c r="E683" s="11" t="s">
        <v>574</v>
      </c>
      <c r="F683" s="56">
        <f t="shared" si="30"/>
        <v>0</v>
      </c>
      <c r="G683" s="56">
        <f>86+40-40-86</f>
        <v>0</v>
      </c>
      <c r="H683" s="56"/>
    </row>
    <row r="684" spans="1:8" ht="45" customHeight="1" hidden="1">
      <c r="A684" s="23" t="s">
        <v>577</v>
      </c>
      <c r="B684" s="11" t="s">
        <v>166</v>
      </c>
      <c r="C684" s="11" t="s">
        <v>151</v>
      </c>
      <c r="D684" s="11" t="s">
        <v>96</v>
      </c>
      <c r="E684" s="11" t="s">
        <v>212</v>
      </c>
      <c r="F684" s="56">
        <f t="shared" si="30"/>
        <v>0</v>
      </c>
      <c r="G684" s="56">
        <f>G685</f>
        <v>0</v>
      </c>
      <c r="H684" s="56"/>
    </row>
    <row r="685" spans="1:8" ht="18" customHeight="1" hidden="1">
      <c r="A685" s="23" t="s">
        <v>176</v>
      </c>
      <c r="B685" s="11" t="s">
        <v>166</v>
      </c>
      <c r="C685" s="11" t="s">
        <v>151</v>
      </c>
      <c r="D685" s="11" t="s">
        <v>96</v>
      </c>
      <c r="E685" s="11" t="s">
        <v>279</v>
      </c>
      <c r="F685" s="56">
        <f t="shared" si="30"/>
        <v>0</v>
      </c>
      <c r="G685" s="56">
        <v>0</v>
      </c>
      <c r="H685" s="56"/>
    </row>
    <row r="686" spans="1:8" ht="54.75" customHeight="1">
      <c r="A686" s="23" t="s">
        <v>577</v>
      </c>
      <c r="B686" s="11" t="s">
        <v>166</v>
      </c>
      <c r="C686" s="11" t="s">
        <v>151</v>
      </c>
      <c r="D686" s="11" t="s">
        <v>96</v>
      </c>
      <c r="E686" s="11" t="s">
        <v>212</v>
      </c>
      <c r="F686" s="56">
        <f>G686</f>
        <v>64.141</v>
      </c>
      <c r="G686" s="56">
        <f>G687</f>
        <v>64.141</v>
      </c>
      <c r="H686" s="56"/>
    </row>
    <row r="687" spans="1:8" ht="18" customHeight="1">
      <c r="A687" s="23" t="s">
        <v>176</v>
      </c>
      <c r="B687" s="11" t="s">
        <v>166</v>
      </c>
      <c r="C687" s="11" t="s">
        <v>151</v>
      </c>
      <c r="D687" s="11" t="s">
        <v>96</v>
      </c>
      <c r="E687" s="11" t="s">
        <v>279</v>
      </c>
      <c r="F687" s="56">
        <f>G687</f>
        <v>64.141</v>
      </c>
      <c r="G687" s="56">
        <v>64.141</v>
      </c>
      <c r="H687" s="56"/>
    </row>
    <row r="688" spans="1:8" ht="48" customHeight="1">
      <c r="A688" s="27" t="s">
        <v>708</v>
      </c>
      <c r="B688" s="24" t="s">
        <v>166</v>
      </c>
      <c r="C688" s="24" t="s">
        <v>151</v>
      </c>
      <c r="D688" s="24" t="s">
        <v>704</v>
      </c>
      <c r="E688" s="24" t="s">
        <v>398</v>
      </c>
      <c r="F688" s="57">
        <f aca="true" t="shared" si="31" ref="F688:F699">G688+H688</f>
        <v>1848.6378300000001</v>
      </c>
      <c r="G688" s="57">
        <f>G689+G691</f>
        <v>1848.6378300000001</v>
      </c>
      <c r="H688" s="57"/>
    </row>
    <row r="689" spans="1:8" ht="34.5" customHeight="1">
      <c r="A689" s="23" t="s">
        <v>188</v>
      </c>
      <c r="B689" s="11" t="s">
        <v>166</v>
      </c>
      <c r="C689" s="11" t="s">
        <v>151</v>
      </c>
      <c r="D689" s="11" t="s">
        <v>704</v>
      </c>
      <c r="E689" s="11" t="s">
        <v>158</v>
      </c>
      <c r="F689" s="56">
        <f t="shared" si="31"/>
        <v>30</v>
      </c>
      <c r="G689" s="56">
        <f>G690</f>
        <v>30</v>
      </c>
      <c r="H689" s="56"/>
    </row>
    <row r="690" spans="1:8" ht="48.75" customHeight="1">
      <c r="A690" s="44" t="s">
        <v>189</v>
      </c>
      <c r="B690" s="11" t="s">
        <v>166</v>
      </c>
      <c r="C690" s="11" t="s">
        <v>151</v>
      </c>
      <c r="D690" s="11" t="s">
        <v>704</v>
      </c>
      <c r="E690" s="11" t="s">
        <v>190</v>
      </c>
      <c r="F690" s="56">
        <f t="shared" si="31"/>
        <v>30</v>
      </c>
      <c r="G690" s="56">
        <f>153-123</f>
        <v>30</v>
      </c>
      <c r="H690" s="56"/>
    </row>
    <row r="691" spans="1:8" ht="48" customHeight="1">
      <c r="A691" s="44" t="s">
        <v>571</v>
      </c>
      <c r="B691" s="11" t="s">
        <v>166</v>
      </c>
      <c r="C691" s="11" t="s">
        <v>151</v>
      </c>
      <c r="D691" s="11" t="s">
        <v>704</v>
      </c>
      <c r="E691" s="11" t="s">
        <v>572</v>
      </c>
      <c r="F691" s="56">
        <f t="shared" si="31"/>
        <v>1818.6378300000001</v>
      </c>
      <c r="G691" s="56">
        <f>G692</f>
        <v>1818.6378300000001</v>
      </c>
      <c r="H691" s="56"/>
    </row>
    <row r="692" spans="1:8" ht="21" customHeight="1">
      <c r="A692" s="44" t="s">
        <v>573</v>
      </c>
      <c r="B692" s="11" t="s">
        <v>166</v>
      </c>
      <c r="C692" s="11" t="s">
        <v>151</v>
      </c>
      <c r="D692" s="11" t="s">
        <v>704</v>
      </c>
      <c r="E692" s="11" t="s">
        <v>574</v>
      </c>
      <c r="F692" s="56">
        <f t="shared" si="31"/>
        <v>1818.6378300000001</v>
      </c>
      <c r="G692" s="56">
        <f>1846.892-28.25417</f>
        <v>1818.6378300000001</v>
      </c>
      <c r="H692" s="56"/>
    </row>
    <row r="693" spans="1:8" ht="48.75" customHeight="1">
      <c r="A693" s="54" t="s">
        <v>896</v>
      </c>
      <c r="B693" s="16" t="s">
        <v>166</v>
      </c>
      <c r="C693" s="16" t="s">
        <v>151</v>
      </c>
      <c r="D693" s="16" t="s">
        <v>311</v>
      </c>
      <c r="E693" s="16" t="s">
        <v>398</v>
      </c>
      <c r="F693" s="101">
        <f t="shared" si="31"/>
        <v>2870.5078000000003</v>
      </c>
      <c r="G693" s="101">
        <f>G694+G697</f>
        <v>28.70508</v>
      </c>
      <c r="H693" s="101">
        <f>H694+H697</f>
        <v>2841.80272</v>
      </c>
    </row>
    <row r="694" spans="1:8" ht="97.5" customHeight="1">
      <c r="A694" s="39" t="s">
        <v>907</v>
      </c>
      <c r="B694" s="24" t="s">
        <v>166</v>
      </c>
      <c r="C694" s="24" t="s">
        <v>151</v>
      </c>
      <c r="D694" s="24" t="s">
        <v>829</v>
      </c>
      <c r="E694" s="24" t="s">
        <v>398</v>
      </c>
      <c r="F694" s="57">
        <f t="shared" si="31"/>
        <v>2841.80272</v>
      </c>
      <c r="G694" s="57">
        <f>G695</f>
        <v>0</v>
      </c>
      <c r="H694" s="57">
        <f>H695</f>
        <v>2841.80272</v>
      </c>
    </row>
    <row r="695" spans="1:8" ht="31.5" customHeight="1">
      <c r="A695" s="23" t="s">
        <v>188</v>
      </c>
      <c r="B695" s="11" t="s">
        <v>166</v>
      </c>
      <c r="C695" s="11" t="s">
        <v>151</v>
      </c>
      <c r="D695" s="11" t="s">
        <v>829</v>
      </c>
      <c r="E695" s="11" t="s">
        <v>158</v>
      </c>
      <c r="F695" s="56">
        <f t="shared" si="31"/>
        <v>2841.80272</v>
      </c>
      <c r="G695" s="56">
        <f>G696</f>
        <v>0</v>
      </c>
      <c r="H695" s="56">
        <f>H696</f>
        <v>2841.80272</v>
      </c>
    </row>
    <row r="696" spans="1:8" ht="48.75" customHeight="1">
      <c r="A696" s="44" t="s">
        <v>189</v>
      </c>
      <c r="B696" s="11" t="s">
        <v>166</v>
      </c>
      <c r="C696" s="11" t="s">
        <v>151</v>
      </c>
      <c r="D696" s="11" t="s">
        <v>829</v>
      </c>
      <c r="E696" s="11" t="s">
        <v>190</v>
      </c>
      <c r="F696" s="56">
        <f t="shared" si="31"/>
        <v>2841.80272</v>
      </c>
      <c r="G696" s="56"/>
      <c r="H696" s="56">
        <v>2841.80272</v>
      </c>
    </row>
    <row r="697" spans="1:8" ht="65.25" customHeight="1">
      <c r="A697" s="27" t="s">
        <v>898</v>
      </c>
      <c r="B697" s="24" t="s">
        <v>166</v>
      </c>
      <c r="C697" s="24" t="s">
        <v>151</v>
      </c>
      <c r="D697" s="24" t="s">
        <v>829</v>
      </c>
      <c r="E697" s="24" t="s">
        <v>398</v>
      </c>
      <c r="F697" s="57">
        <f>G697+H697</f>
        <v>28.70508</v>
      </c>
      <c r="G697" s="57">
        <f>G698</f>
        <v>28.70508</v>
      </c>
      <c r="H697" s="57">
        <f>H698</f>
        <v>0</v>
      </c>
    </row>
    <row r="698" spans="1:8" ht="35.25" customHeight="1">
      <c r="A698" s="23" t="s">
        <v>188</v>
      </c>
      <c r="B698" s="11" t="s">
        <v>166</v>
      </c>
      <c r="C698" s="11" t="s">
        <v>151</v>
      </c>
      <c r="D698" s="11" t="s">
        <v>829</v>
      </c>
      <c r="E698" s="11" t="s">
        <v>158</v>
      </c>
      <c r="F698" s="56">
        <f t="shared" si="31"/>
        <v>28.70508</v>
      </c>
      <c r="G698" s="56">
        <f>G699</f>
        <v>28.70508</v>
      </c>
      <c r="H698" s="56">
        <f>H699</f>
        <v>0</v>
      </c>
    </row>
    <row r="699" spans="1:8" ht="48.75" customHeight="1">
      <c r="A699" s="44" t="s">
        <v>189</v>
      </c>
      <c r="B699" s="11" t="s">
        <v>166</v>
      </c>
      <c r="C699" s="11" t="s">
        <v>151</v>
      </c>
      <c r="D699" s="11" t="s">
        <v>829</v>
      </c>
      <c r="E699" s="11" t="s">
        <v>190</v>
      </c>
      <c r="F699" s="56">
        <f t="shared" si="31"/>
        <v>28.70508</v>
      </c>
      <c r="G699" s="56">
        <v>28.70508</v>
      </c>
      <c r="H699" s="56"/>
    </row>
    <row r="700" spans="1:8" ht="64.5" customHeight="1">
      <c r="A700" s="55" t="s">
        <v>888</v>
      </c>
      <c r="B700" s="16" t="s">
        <v>166</v>
      </c>
      <c r="C700" s="16" t="s">
        <v>151</v>
      </c>
      <c r="D700" s="16" t="s">
        <v>311</v>
      </c>
      <c r="E700" s="16" t="s">
        <v>398</v>
      </c>
      <c r="F700" s="101">
        <f>H700+G700</f>
        <v>350</v>
      </c>
      <c r="G700" s="101">
        <f>G701+G704</f>
        <v>3.5</v>
      </c>
      <c r="H700" s="101">
        <f>H701+H704</f>
        <v>346.5</v>
      </c>
    </row>
    <row r="701" spans="1:8" ht="95.25" customHeight="1">
      <c r="A701" s="39" t="s">
        <v>864</v>
      </c>
      <c r="B701" s="24" t="s">
        <v>166</v>
      </c>
      <c r="C701" s="24" t="s">
        <v>151</v>
      </c>
      <c r="D701" s="24" t="s">
        <v>830</v>
      </c>
      <c r="E701" s="24" t="s">
        <v>398</v>
      </c>
      <c r="F701" s="57">
        <f>H701</f>
        <v>346.5</v>
      </c>
      <c r="G701" s="57">
        <f>G702</f>
        <v>0</v>
      </c>
      <c r="H701" s="57">
        <f>H702</f>
        <v>346.5</v>
      </c>
    </row>
    <row r="702" spans="1:8" ht="36" customHeight="1">
      <c r="A702" s="23" t="s">
        <v>188</v>
      </c>
      <c r="B702" s="11" t="s">
        <v>166</v>
      </c>
      <c r="C702" s="11" t="s">
        <v>151</v>
      </c>
      <c r="D702" s="11" t="s">
        <v>830</v>
      </c>
      <c r="E702" s="11" t="s">
        <v>158</v>
      </c>
      <c r="F702" s="56">
        <f>H702</f>
        <v>346.5</v>
      </c>
      <c r="G702" s="56">
        <f>G703</f>
        <v>0</v>
      </c>
      <c r="H702" s="56">
        <f>H703</f>
        <v>346.5</v>
      </c>
    </row>
    <row r="703" spans="1:8" ht="48" customHeight="1">
      <c r="A703" s="44" t="s">
        <v>189</v>
      </c>
      <c r="B703" s="11" t="s">
        <v>166</v>
      </c>
      <c r="C703" s="11" t="s">
        <v>151</v>
      </c>
      <c r="D703" s="11" t="s">
        <v>830</v>
      </c>
      <c r="E703" s="11" t="s">
        <v>190</v>
      </c>
      <c r="F703" s="56">
        <f>H703</f>
        <v>346.5</v>
      </c>
      <c r="G703" s="56"/>
      <c r="H703" s="56">
        <v>346.5</v>
      </c>
    </row>
    <row r="704" spans="1:8" ht="128.25" customHeight="1">
      <c r="A704" s="39" t="s">
        <v>908</v>
      </c>
      <c r="B704" s="24" t="s">
        <v>166</v>
      </c>
      <c r="C704" s="24" t="s">
        <v>151</v>
      </c>
      <c r="D704" s="24" t="s">
        <v>894</v>
      </c>
      <c r="E704" s="24" t="s">
        <v>398</v>
      </c>
      <c r="F704" s="57">
        <f>G704</f>
        <v>3.5</v>
      </c>
      <c r="G704" s="57">
        <f>G705</f>
        <v>3.5</v>
      </c>
      <c r="H704" s="57">
        <f>H705</f>
        <v>0</v>
      </c>
    </row>
    <row r="705" spans="1:8" ht="39.75" customHeight="1">
      <c r="A705" s="23" t="s">
        <v>188</v>
      </c>
      <c r="B705" s="11" t="s">
        <v>166</v>
      </c>
      <c r="C705" s="11" t="s">
        <v>151</v>
      </c>
      <c r="D705" s="11" t="s">
        <v>894</v>
      </c>
      <c r="E705" s="11" t="s">
        <v>158</v>
      </c>
      <c r="F705" s="56">
        <f>G705</f>
        <v>3.5</v>
      </c>
      <c r="G705" s="56">
        <f>G706</f>
        <v>3.5</v>
      </c>
      <c r="H705" s="56">
        <f>H706</f>
        <v>0</v>
      </c>
    </row>
    <row r="706" spans="1:8" ht="51" customHeight="1">
      <c r="A706" s="44" t="s">
        <v>189</v>
      </c>
      <c r="B706" s="11" t="s">
        <v>166</v>
      </c>
      <c r="C706" s="11" t="s">
        <v>151</v>
      </c>
      <c r="D706" s="11" t="s">
        <v>894</v>
      </c>
      <c r="E706" s="11" t="s">
        <v>190</v>
      </c>
      <c r="F706" s="56">
        <f>G706</f>
        <v>3.5</v>
      </c>
      <c r="G706" s="56">
        <v>3.5</v>
      </c>
      <c r="H706" s="56"/>
    </row>
    <row r="707" spans="1:8" ht="33" customHeight="1" hidden="1">
      <c r="A707" s="55" t="s">
        <v>895</v>
      </c>
      <c r="B707" s="16" t="s">
        <v>166</v>
      </c>
      <c r="C707" s="16" t="s">
        <v>151</v>
      </c>
      <c r="D707" s="16" t="s">
        <v>311</v>
      </c>
      <c r="E707" s="16" t="s">
        <v>398</v>
      </c>
      <c r="F707" s="101">
        <f>G707+H707</f>
        <v>0</v>
      </c>
      <c r="G707" s="101">
        <f>G711</f>
        <v>0</v>
      </c>
      <c r="H707" s="101">
        <f>H708</f>
        <v>0</v>
      </c>
    </row>
    <row r="708" spans="1:8" ht="48" customHeight="1" hidden="1">
      <c r="A708" s="39" t="s">
        <v>910</v>
      </c>
      <c r="B708" s="11" t="s">
        <v>166</v>
      </c>
      <c r="C708" s="11" t="s">
        <v>151</v>
      </c>
      <c r="D708" s="11" t="s">
        <v>911</v>
      </c>
      <c r="E708" s="11" t="s">
        <v>398</v>
      </c>
      <c r="F708" s="56">
        <f aca="true" t="shared" si="32" ref="F708:F720">G708+H708</f>
        <v>0</v>
      </c>
      <c r="G708" s="56"/>
      <c r="H708" s="56">
        <f>H709</f>
        <v>0</v>
      </c>
    </row>
    <row r="709" spans="1:8" ht="33" customHeight="1" hidden="1">
      <c r="A709" s="23" t="s">
        <v>188</v>
      </c>
      <c r="B709" s="11" t="s">
        <v>166</v>
      </c>
      <c r="C709" s="11" t="s">
        <v>151</v>
      </c>
      <c r="D709" s="11" t="s">
        <v>911</v>
      </c>
      <c r="E709" s="11" t="s">
        <v>158</v>
      </c>
      <c r="F709" s="56">
        <f t="shared" si="32"/>
        <v>0</v>
      </c>
      <c r="G709" s="56"/>
      <c r="H709" s="56">
        <f>H710</f>
        <v>0</v>
      </c>
    </row>
    <row r="710" spans="1:8" ht="33" customHeight="1" hidden="1">
      <c r="A710" s="44" t="s">
        <v>189</v>
      </c>
      <c r="B710" s="11" t="s">
        <v>166</v>
      </c>
      <c r="C710" s="11" t="s">
        <v>151</v>
      </c>
      <c r="D710" s="11" t="s">
        <v>911</v>
      </c>
      <c r="E710" s="11" t="s">
        <v>190</v>
      </c>
      <c r="F710" s="56">
        <f t="shared" si="32"/>
        <v>0</v>
      </c>
      <c r="G710" s="56"/>
      <c r="H710" s="56"/>
    </row>
    <row r="711" spans="1:8" ht="78" customHeight="1" hidden="1">
      <c r="A711" s="39" t="s">
        <v>900</v>
      </c>
      <c r="B711" s="24" t="s">
        <v>166</v>
      </c>
      <c r="C711" s="24" t="s">
        <v>151</v>
      </c>
      <c r="D711" s="11" t="s">
        <v>909</v>
      </c>
      <c r="E711" s="11" t="s">
        <v>398</v>
      </c>
      <c r="F711" s="56">
        <f t="shared" si="32"/>
        <v>0</v>
      </c>
      <c r="G711" s="56">
        <f>G712</f>
        <v>0</v>
      </c>
      <c r="H711" s="56"/>
    </row>
    <row r="712" spans="1:8" ht="34.5" customHeight="1" hidden="1">
      <c r="A712" s="23" t="s">
        <v>188</v>
      </c>
      <c r="B712" s="11" t="s">
        <v>166</v>
      </c>
      <c r="C712" s="11" t="s">
        <v>151</v>
      </c>
      <c r="D712" s="11" t="s">
        <v>909</v>
      </c>
      <c r="E712" s="11" t="s">
        <v>158</v>
      </c>
      <c r="F712" s="56">
        <f t="shared" si="32"/>
        <v>0</v>
      </c>
      <c r="G712" s="56">
        <f>G713</f>
        <v>0</v>
      </c>
      <c r="H712" s="56"/>
    </row>
    <row r="713" spans="1:8" ht="48" customHeight="1" hidden="1">
      <c r="A713" s="44" t="s">
        <v>189</v>
      </c>
      <c r="B713" s="11" t="s">
        <v>166</v>
      </c>
      <c r="C713" s="11" t="s">
        <v>151</v>
      </c>
      <c r="D713" s="11" t="s">
        <v>909</v>
      </c>
      <c r="E713" s="11" t="s">
        <v>190</v>
      </c>
      <c r="F713" s="56">
        <f t="shared" si="32"/>
        <v>0</v>
      </c>
      <c r="G713" s="56">
        <f>37.5-37.5</f>
        <v>0</v>
      </c>
      <c r="H713" s="56"/>
    </row>
    <row r="714" spans="1:8" ht="48" customHeight="1">
      <c r="A714" s="54" t="s">
        <v>675</v>
      </c>
      <c r="B714" s="16" t="s">
        <v>166</v>
      </c>
      <c r="C714" s="16" t="s">
        <v>151</v>
      </c>
      <c r="D714" s="16" t="s">
        <v>95</v>
      </c>
      <c r="E714" s="16" t="s">
        <v>398</v>
      </c>
      <c r="F714" s="101">
        <f t="shared" si="32"/>
        <v>144.99515</v>
      </c>
      <c r="G714" s="101">
        <f>G715+G718</f>
        <v>1.4499499999999999</v>
      </c>
      <c r="H714" s="101">
        <f>H715+H718</f>
        <v>143.5452</v>
      </c>
    </row>
    <row r="715" spans="1:8" ht="85.5" customHeight="1">
      <c r="A715" s="39" t="s">
        <v>683</v>
      </c>
      <c r="B715" s="11" t="s">
        <v>166</v>
      </c>
      <c r="C715" s="11" t="s">
        <v>151</v>
      </c>
      <c r="D715" s="11" t="s">
        <v>678</v>
      </c>
      <c r="E715" s="11" t="s">
        <v>398</v>
      </c>
      <c r="F715" s="56">
        <f t="shared" si="32"/>
        <v>143.5452</v>
      </c>
      <c r="G715" s="56"/>
      <c r="H715" s="56">
        <f>H716</f>
        <v>143.5452</v>
      </c>
    </row>
    <row r="716" spans="1:8" ht="45" customHeight="1">
      <c r="A716" s="23" t="s">
        <v>577</v>
      </c>
      <c r="B716" s="11" t="s">
        <v>166</v>
      </c>
      <c r="C716" s="11" t="s">
        <v>151</v>
      </c>
      <c r="D716" s="11" t="s">
        <v>678</v>
      </c>
      <c r="E716" s="11" t="s">
        <v>212</v>
      </c>
      <c r="F716" s="56">
        <f t="shared" si="32"/>
        <v>143.5452</v>
      </c>
      <c r="G716" s="56"/>
      <c r="H716" s="56">
        <f>H717</f>
        <v>143.5452</v>
      </c>
    </row>
    <row r="717" spans="1:8" ht="18.75" customHeight="1">
      <c r="A717" s="23" t="s">
        <v>176</v>
      </c>
      <c r="B717" s="11" t="s">
        <v>166</v>
      </c>
      <c r="C717" s="11" t="s">
        <v>151</v>
      </c>
      <c r="D717" s="11" t="s">
        <v>678</v>
      </c>
      <c r="E717" s="11" t="s">
        <v>279</v>
      </c>
      <c r="F717" s="56">
        <f t="shared" si="32"/>
        <v>143.5452</v>
      </c>
      <c r="G717" s="56"/>
      <c r="H717" s="56">
        <f>70.291+73.2542</f>
        <v>143.5452</v>
      </c>
    </row>
    <row r="718" spans="1:8" ht="93.75" customHeight="1">
      <c r="A718" s="39" t="s">
        <v>684</v>
      </c>
      <c r="B718" s="11" t="s">
        <v>166</v>
      </c>
      <c r="C718" s="11" t="s">
        <v>151</v>
      </c>
      <c r="D718" s="11" t="s">
        <v>679</v>
      </c>
      <c r="E718" s="11" t="s">
        <v>398</v>
      </c>
      <c r="F718" s="56">
        <f t="shared" si="32"/>
        <v>1.4499499999999999</v>
      </c>
      <c r="G718" s="56">
        <f>G719</f>
        <v>1.4499499999999999</v>
      </c>
      <c r="H718" s="56"/>
    </row>
    <row r="719" spans="1:8" ht="48.75" customHeight="1">
      <c r="A719" s="23" t="s">
        <v>577</v>
      </c>
      <c r="B719" s="11" t="s">
        <v>166</v>
      </c>
      <c r="C719" s="11" t="s">
        <v>151</v>
      </c>
      <c r="D719" s="11" t="s">
        <v>679</v>
      </c>
      <c r="E719" s="11" t="s">
        <v>212</v>
      </c>
      <c r="F719" s="56">
        <f t="shared" si="32"/>
        <v>1.4499499999999999</v>
      </c>
      <c r="G719" s="56">
        <f>G720</f>
        <v>1.4499499999999999</v>
      </c>
      <c r="H719" s="56"/>
    </row>
    <row r="720" spans="1:8" ht="18.75" customHeight="1">
      <c r="A720" s="23" t="s">
        <v>176</v>
      </c>
      <c r="B720" s="11" t="s">
        <v>166</v>
      </c>
      <c r="C720" s="11" t="s">
        <v>151</v>
      </c>
      <c r="D720" s="11" t="s">
        <v>679</v>
      </c>
      <c r="E720" s="11" t="s">
        <v>279</v>
      </c>
      <c r="F720" s="56">
        <f t="shared" si="32"/>
        <v>1.4499499999999999</v>
      </c>
      <c r="G720" s="56">
        <f>1.40427+0.04568</f>
        <v>1.4499499999999999</v>
      </c>
      <c r="H720" s="56"/>
    </row>
    <row r="721" spans="1:8" ht="64.5" customHeight="1" hidden="1">
      <c r="A721" s="54" t="s">
        <v>709</v>
      </c>
      <c r="B721" s="16" t="s">
        <v>166</v>
      </c>
      <c r="C721" s="16" t="s">
        <v>151</v>
      </c>
      <c r="D721" s="16" t="s">
        <v>95</v>
      </c>
      <c r="E721" s="16" t="s">
        <v>398</v>
      </c>
      <c r="F721" s="101">
        <f>G721+H721</f>
        <v>0</v>
      </c>
      <c r="G721" s="101">
        <f>G725</f>
        <v>0</v>
      </c>
      <c r="H721" s="101">
        <f>H722</f>
        <v>0</v>
      </c>
    </row>
    <row r="722" spans="1:8" ht="96.75" customHeight="1" hidden="1">
      <c r="A722" s="39" t="s">
        <v>711</v>
      </c>
      <c r="B722" s="24" t="s">
        <v>166</v>
      </c>
      <c r="C722" s="24" t="s">
        <v>151</v>
      </c>
      <c r="D722" s="24" t="s">
        <v>710</v>
      </c>
      <c r="E722" s="24" t="s">
        <v>398</v>
      </c>
      <c r="F722" s="57">
        <f aca="true" t="shared" si="33" ref="F722:F743">G722+H722</f>
        <v>0</v>
      </c>
      <c r="G722" s="57"/>
      <c r="H722" s="57">
        <f>H723</f>
        <v>0</v>
      </c>
    </row>
    <row r="723" spans="1:8" ht="36" customHeight="1" hidden="1">
      <c r="A723" s="23" t="s">
        <v>188</v>
      </c>
      <c r="B723" s="11" t="s">
        <v>166</v>
      </c>
      <c r="C723" s="11" t="s">
        <v>151</v>
      </c>
      <c r="D723" s="11" t="s">
        <v>710</v>
      </c>
      <c r="E723" s="11" t="s">
        <v>158</v>
      </c>
      <c r="F723" s="56">
        <f t="shared" si="33"/>
        <v>0</v>
      </c>
      <c r="G723" s="56"/>
      <c r="H723" s="56">
        <f>H724</f>
        <v>0</v>
      </c>
    </row>
    <row r="724" spans="1:8" ht="48" customHeight="1" hidden="1">
      <c r="A724" s="44" t="s">
        <v>189</v>
      </c>
      <c r="B724" s="11" t="s">
        <v>166</v>
      </c>
      <c r="C724" s="11" t="s">
        <v>151</v>
      </c>
      <c r="D724" s="11" t="s">
        <v>710</v>
      </c>
      <c r="E724" s="11" t="s">
        <v>190</v>
      </c>
      <c r="F724" s="56">
        <f t="shared" si="33"/>
        <v>0</v>
      </c>
      <c r="G724" s="56"/>
      <c r="H724" s="56">
        <v>0</v>
      </c>
    </row>
    <row r="725" spans="1:8" ht="114.75" customHeight="1" hidden="1">
      <c r="A725" s="27" t="s">
        <v>712</v>
      </c>
      <c r="B725" s="24" t="s">
        <v>166</v>
      </c>
      <c r="C725" s="24" t="s">
        <v>151</v>
      </c>
      <c r="D725" s="24" t="s">
        <v>713</v>
      </c>
      <c r="E725" s="24" t="s">
        <v>398</v>
      </c>
      <c r="F725" s="57">
        <f>G725+H725</f>
        <v>0</v>
      </c>
      <c r="G725" s="57">
        <f>G726</f>
        <v>0</v>
      </c>
      <c r="H725" s="57"/>
    </row>
    <row r="726" spans="1:8" ht="36" customHeight="1" hidden="1">
      <c r="A726" s="23" t="s">
        <v>188</v>
      </c>
      <c r="B726" s="11" t="s">
        <v>166</v>
      </c>
      <c r="C726" s="11" t="s">
        <v>151</v>
      </c>
      <c r="D726" s="11" t="s">
        <v>713</v>
      </c>
      <c r="E726" s="11" t="s">
        <v>158</v>
      </c>
      <c r="F726" s="56">
        <f t="shared" si="33"/>
        <v>0</v>
      </c>
      <c r="G726" s="56">
        <f>G727</f>
        <v>0</v>
      </c>
      <c r="H726" s="56"/>
    </row>
    <row r="727" spans="1:8" ht="47.25" customHeight="1" hidden="1">
      <c r="A727" s="44" t="s">
        <v>189</v>
      </c>
      <c r="B727" s="11" t="s">
        <v>166</v>
      </c>
      <c r="C727" s="11" t="s">
        <v>151</v>
      </c>
      <c r="D727" s="11" t="s">
        <v>713</v>
      </c>
      <c r="E727" s="11" t="s">
        <v>190</v>
      </c>
      <c r="F727" s="56">
        <f t="shared" si="33"/>
        <v>0</v>
      </c>
      <c r="G727" s="56">
        <v>0</v>
      </c>
      <c r="H727" s="56"/>
    </row>
    <row r="728" spans="1:8" s="143" customFormat="1" ht="49.5" customHeight="1">
      <c r="A728" s="54" t="s">
        <v>226</v>
      </c>
      <c r="B728" s="16" t="s">
        <v>168</v>
      </c>
      <c r="C728" s="16" t="s">
        <v>150</v>
      </c>
      <c r="D728" s="16" t="s">
        <v>311</v>
      </c>
      <c r="E728" s="16" t="s">
        <v>398</v>
      </c>
      <c r="F728" s="101">
        <f t="shared" si="33"/>
        <v>82</v>
      </c>
      <c r="G728" s="101">
        <f>G729</f>
        <v>82</v>
      </c>
      <c r="H728" s="101">
        <f>H729</f>
        <v>0</v>
      </c>
    </row>
    <row r="729" spans="1:8" ht="33.75" customHeight="1">
      <c r="A729" s="23" t="s">
        <v>404</v>
      </c>
      <c r="B729" s="11" t="s">
        <v>168</v>
      </c>
      <c r="C729" s="11" t="s">
        <v>149</v>
      </c>
      <c r="D729" s="11" t="s">
        <v>311</v>
      </c>
      <c r="E729" s="11" t="s">
        <v>398</v>
      </c>
      <c r="F729" s="56">
        <f t="shared" si="33"/>
        <v>82</v>
      </c>
      <c r="G729" s="56">
        <f>G730</f>
        <v>82</v>
      </c>
      <c r="H729" s="56">
        <f>H731</f>
        <v>0</v>
      </c>
    </row>
    <row r="730" spans="1:8" ht="78" customHeight="1">
      <c r="A730" s="27" t="s">
        <v>521</v>
      </c>
      <c r="B730" s="24" t="s">
        <v>168</v>
      </c>
      <c r="C730" s="24" t="s">
        <v>149</v>
      </c>
      <c r="D730" s="24" t="s">
        <v>506</v>
      </c>
      <c r="E730" s="24" t="s">
        <v>398</v>
      </c>
      <c r="F730" s="57">
        <f t="shared" si="33"/>
        <v>82</v>
      </c>
      <c r="G730" s="57">
        <f>G731</f>
        <v>82</v>
      </c>
      <c r="H730" s="57">
        <v>0</v>
      </c>
    </row>
    <row r="731" spans="1:8" ht="33" customHeight="1">
      <c r="A731" s="23" t="s">
        <v>345</v>
      </c>
      <c r="B731" s="11" t="s">
        <v>168</v>
      </c>
      <c r="C731" s="11" t="s">
        <v>149</v>
      </c>
      <c r="D731" s="11" t="s">
        <v>501</v>
      </c>
      <c r="E731" s="11" t="s">
        <v>398</v>
      </c>
      <c r="F731" s="56">
        <f t="shared" si="33"/>
        <v>82</v>
      </c>
      <c r="G731" s="56">
        <f>G732</f>
        <v>82</v>
      </c>
      <c r="H731" s="56">
        <f>H732</f>
        <v>0</v>
      </c>
    </row>
    <row r="732" spans="1:8" ht="33" customHeight="1">
      <c r="A732" s="23" t="s">
        <v>510</v>
      </c>
      <c r="B732" s="11" t="s">
        <v>168</v>
      </c>
      <c r="C732" s="11" t="s">
        <v>149</v>
      </c>
      <c r="D732" s="11" t="s">
        <v>501</v>
      </c>
      <c r="E732" s="11" t="s">
        <v>398</v>
      </c>
      <c r="F732" s="56">
        <f t="shared" si="33"/>
        <v>82</v>
      </c>
      <c r="G732" s="56">
        <f>G733</f>
        <v>82</v>
      </c>
      <c r="H732" s="56">
        <f>H734</f>
        <v>0</v>
      </c>
    </row>
    <row r="733" spans="1:8" ht="33" customHeight="1">
      <c r="A733" s="23" t="s">
        <v>207</v>
      </c>
      <c r="B733" s="11" t="s">
        <v>168</v>
      </c>
      <c r="C733" s="11" t="s">
        <v>149</v>
      </c>
      <c r="D733" s="11" t="s">
        <v>501</v>
      </c>
      <c r="E733" s="11" t="s">
        <v>208</v>
      </c>
      <c r="F733" s="56">
        <f t="shared" si="33"/>
        <v>82</v>
      </c>
      <c r="G733" s="56">
        <f>G734</f>
        <v>82</v>
      </c>
      <c r="H733" s="56"/>
    </row>
    <row r="734" spans="1:8" ht="17.25" customHeight="1">
      <c r="A734" s="23" t="s">
        <v>228</v>
      </c>
      <c r="B734" s="11" t="s">
        <v>168</v>
      </c>
      <c r="C734" s="11" t="s">
        <v>149</v>
      </c>
      <c r="D734" s="11" t="s">
        <v>501</v>
      </c>
      <c r="E734" s="11" t="s">
        <v>321</v>
      </c>
      <c r="F734" s="56">
        <f t="shared" si="33"/>
        <v>82</v>
      </c>
      <c r="G734" s="56">
        <f>460-378</f>
        <v>82</v>
      </c>
      <c r="H734" s="56"/>
    </row>
    <row r="735" spans="1:8" s="143" customFormat="1" ht="78.75" customHeight="1">
      <c r="A735" s="54" t="s">
        <v>229</v>
      </c>
      <c r="B735" s="16" t="s">
        <v>230</v>
      </c>
      <c r="C735" s="16" t="s">
        <v>150</v>
      </c>
      <c r="D735" s="16" t="s">
        <v>311</v>
      </c>
      <c r="E735" s="16" t="s">
        <v>398</v>
      </c>
      <c r="F735" s="101">
        <f t="shared" si="33"/>
        <v>21688.25924</v>
      </c>
      <c r="G735" s="101">
        <f>G737+G744+G746+G750</f>
        <v>10587.34724</v>
      </c>
      <c r="H735" s="101">
        <f>H737+H746</f>
        <v>11100.912</v>
      </c>
    </row>
    <row r="736" spans="1:8" s="143" customFormat="1" ht="79.5" customHeight="1">
      <c r="A736" s="27" t="s">
        <v>521</v>
      </c>
      <c r="B736" s="51" t="s">
        <v>230</v>
      </c>
      <c r="C736" s="51" t="s">
        <v>150</v>
      </c>
      <c r="D736" s="51" t="s">
        <v>506</v>
      </c>
      <c r="E736" s="51" t="s">
        <v>398</v>
      </c>
      <c r="F736" s="98">
        <f t="shared" si="33"/>
        <v>21688.25924</v>
      </c>
      <c r="G736" s="98">
        <f>G737+G745+G747+G751</f>
        <v>10587.34724</v>
      </c>
      <c r="H736" s="98">
        <f>H738+H747</f>
        <v>11100.912</v>
      </c>
    </row>
    <row r="737" spans="1:8" ht="48.75" customHeight="1">
      <c r="A737" s="23" t="s">
        <v>231</v>
      </c>
      <c r="B737" s="11" t="s">
        <v>230</v>
      </c>
      <c r="C737" s="11" t="s">
        <v>149</v>
      </c>
      <c r="D737" s="11" t="s">
        <v>506</v>
      </c>
      <c r="E737" s="11" t="s">
        <v>398</v>
      </c>
      <c r="F737" s="56">
        <f t="shared" si="33"/>
        <v>17516.275999999998</v>
      </c>
      <c r="G737" s="56">
        <f>G742</f>
        <v>6415.364</v>
      </c>
      <c r="H737" s="56">
        <f>H738</f>
        <v>11100.912</v>
      </c>
    </row>
    <row r="738" spans="1:9" ht="50.25" customHeight="1">
      <c r="A738" s="27" t="s">
        <v>232</v>
      </c>
      <c r="B738" s="24" t="s">
        <v>230</v>
      </c>
      <c r="C738" s="24" t="s">
        <v>149</v>
      </c>
      <c r="D738" s="24" t="s">
        <v>498</v>
      </c>
      <c r="E738" s="24" t="s">
        <v>398</v>
      </c>
      <c r="F738" s="57">
        <f t="shared" si="33"/>
        <v>11100.912</v>
      </c>
      <c r="G738" s="57">
        <f>G739</f>
        <v>0</v>
      </c>
      <c r="H738" s="57">
        <f>H739</f>
        <v>11100.912</v>
      </c>
      <c r="I738" s="130"/>
    </row>
    <row r="739" spans="1:8" ht="18.75" customHeight="1">
      <c r="A739" s="23" t="s">
        <v>199</v>
      </c>
      <c r="B739" s="11" t="s">
        <v>230</v>
      </c>
      <c r="C739" s="11" t="s">
        <v>149</v>
      </c>
      <c r="D739" s="11" t="s">
        <v>498</v>
      </c>
      <c r="E739" s="11" t="s">
        <v>398</v>
      </c>
      <c r="F739" s="56">
        <f t="shared" si="33"/>
        <v>11100.912</v>
      </c>
      <c r="G739" s="56">
        <f>G740</f>
        <v>0</v>
      </c>
      <c r="H739" s="56">
        <f>H740+H742</f>
        <v>11100.912</v>
      </c>
    </row>
    <row r="740" spans="1:8" ht="96" customHeight="1">
      <c r="A740" s="23" t="s">
        <v>324</v>
      </c>
      <c r="B740" s="11" t="s">
        <v>230</v>
      </c>
      <c r="C740" s="11" t="s">
        <v>149</v>
      </c>
      <c r="D740" s="11" t="s">
        <v>498</v>
      </c>
      <c r="E740" s="11" t="s">
        <v>398</v>
      </c>
      <c r="F740" s="56">
        <f t="shared" si="33"/>
        <v>11100.912</v>
      </c>
      <c r="G740" s="56">
        <f>G741</f>
        <v>0</v>
      </c>
      <c r="H740" s="56">
        <f>H741</f>
        <v>11100.912</v>
      </c>
    </row>
    <row r="741" spans="1:8" ht="18" customHeight="1">
      <c r="A741" s="23" t="s">
        <v>209</v>
      </c>
      <c r="B741" s="11" t="s">
        <v>230</v>
      </c>
      <c r="C741" s="11" t="s">
        <v>149</v>
      </c>
      <c r="D741" s="11" t="s">
        <v>498</v>
      </c>
      <c r="E741" s="11" t="s">
        <v>210</v>
      </c>
      <c r="F741" s="56">
        <f t="shared" si="33"/>
        <v>11100.912</v>
      </c>
      <c r="G741" s="56">
        <v>0</v>
      </c>
      <c r="H741" s="56">
        <v>11100.912</v>
      </c>
    </row>
    <row r="742" spans="1:8" ht="51" customHeight="1">
      <c r="A742" s="27" t="s">
        <v>305</v>
      </c>
      <c r="B742" s="24" t="s">
        <v>230</v>
      </c>
      <c r="C742" s="24" t="s">
        <v>149</v>
      </c>
      <c r="D742" s="24" t="s">
        <v>499</v>
      </c>
      <c r="E742" s="24" t="s">
        <v>398</v>
      </c>
      <c r="F742" s="57">
        <f t="shared" si="33"/>
        <v>6415.364</v>
      </c>
      <c r="G742" s="57">
        <f>G743</f>
        <v>6415.364</v>
      </c>
      <c r="H742" s="57">
        <f>H743</f>
        <v>0</v>
      </c>
    </row>
    <row r="743" spans="1:8" ht="16.5" customHeight="1">
      <c r="A743" s="23" t="s">
        <v>209</v>
      </c>
      <c r="B743" s="11" t="s">
        <v>230</v>
      </c>
      <c r="C743" s="11" t="s">
        <v>149</v>
      </c>
      <c r="D743" s="11" t="s">
        <v>499</v>
      </c>
      <c r="E743" s="11" t="s">
        <v>210</v>
      </c>
      <c r="F743" s="56">
        <f t="shared" si="33"/>
        <v>6415.364</v>
      </c>
      <c r="G743" s="56">
        <v>6415.364</v>
      </c>
      <c r="H743" s="56"/>
    </row>
    <row r="744" spans="1:8" ht="48" customHeight="1" hidden="1">
      <c r="A744" s="23" t="s">
        <v>305</v>
      </c>
      <c r="B744" s="11" t="s">
        <v>230</v>
      </c>
      <c r="C744" s="11" t="s">
        <v>149</v>
      </c>
      <c r="D744" s="11" t="s">
        <v>25</v>
      </c>
      <c r="E744" s="11" t="s">
        <v>398</v>
      </c>
      <c r="F744" s="56">
        <f>G744</f>
        <v>0</v>
      </c>
      <c r="G744" s="56">
        <f>G745</f>
        <v>0</v>
      </c>
      <c r="H744" s="56">
        <f>H745</f>
        <v>0</v>
      </c>
    </row>
    <row r="745" spans="1:8" ht="17.25" customHeight="1" hidden="1">
      <c r="A745" s="23" t="s">
        <v>197</v>
      </c>
      <c r="B745" s="11" t="s">
        <v>230</v>
      </c>
      <c r="C745" s="11" t="s">
        <v>149</v>
      </c>
      <c r="D745" s="11" t="s">
        <v>25</v>
      </c>
      <c r="E745" s="11" t="s">
        <v>210</v>
      </c>
      <c r="F745" s="56">
        <f>G745</f>
        <v>0</v>
      </c>
      <c r="G745" s="56"/>
      <c r="H745" s="56"/>
    </row>
    <row r="746" spans="1:8" ht="33" customHeight="1">
      <c r="A746" s="27" t="s">
        <v>335</v>
      </c>
      <c r="B746" s="24" t="s">
        <v>230</v>
      </c>
      <c r="C746" s="24" t="s">
        <v>156</v>
      </c>
      <c r="D746" s="24" t="s">
        <v>506</v>
      </c>
      <c r="E746" s="24" t="s">
        <v>398</v>
      </c>
      <c r="F746" s="57">
        <f>G746+H746</f>
        <v>3123.58324</v>
      </c>
      <c r="G746" s="57">
        <f>G747</f>
        <v>3123.58324</v>
      </c>
      <c r="H746" s="57">
        <f>H747</f>
        <v>0</v>
      </c>
    </row>
    <row r="747" spans="1:8" ht="33" customHeight="1">
      <c r="A747" s="23" t="s">
        <v>441</v>
      </c>
      <c r="B747" s="11" t="s">
        <v>230</v>
      </c>
      <c r="C747" s="11" t="s">
        <v>156</v>
      </c>
      <c r="D747" s="11" t="s">
        <v>506</v>
      </c>
      <c r="E747" s="11" t="s">
        <v>398</v>
      </c>
      <c r="F747" s="56">
        <f>G747+H747</f>
        <v>3123.58324</v>
      </c>
      <c r="G747" s="56">
        <f>G748</f>
        <v>3123.58324</v>
      </c>
      <c r="H747" s="56">
        <f>H749</f>
        <v>0</v>
      </c>
    </row>
    <row r="748" spans="1:8" ht="18.75" customHeight="1">
      <c r="A748" s="23" t="s">
        <v>199</v>
      </c>
      <c r="B748" s="11" t="s">
        <v>230</v>
      </c>
      <c r="C748" s="11" t="s">
        <v>156</v>
      </c>
      <c r="D748" s="11" t="s">
        <v>506</v>
      </c>
      <c r="E748" s="11" t="s">
        <v>200</v>
      </c>
      <c r="F748" s="56">
        <f>G748+H748</f>
        <v>3123.58324</v>
      </c>
      <c r="G748" s="56">
        <f>G749+G753</f>
        <v>3123.58324</v>
      </c>
      <c r="H748" s="56"/>
    </row>
    <row r="749" spans="1:8" ht="17.25" customHeight="1">
      <c r="A749" s="23" t="s">
        <v>294</v>
      </c>
      <c r="B749" s="11" t="s">
        <v>230</v>
      </c>
      <c r="C749" s="11" t="s">
        <v>156</v>
      </c>
      <c r="D749" s="11" t="s">
        <v>500</v>
      </c>
      <c r="E749" s="11" t="s">
        <v>440</v>
      </c>
      <c r="F749" s="56">
        <f>G749+H749</f>
        <v>3123.58324</v>
      </c>
      <c r="G749" s="56">
        <f>1020+800+759.89-12.30676+556</f>
        <v>3123.58324</v>
      </c>
      <c r="H749" s="56"/>
    </row>
    <row r="750" spans="1:8" ht="32.25" customHeight="1" hidden="1">
      <c r="A750" s="23" t="s">
        <v>335</v>
      </c>
      <c r="B750" s="11" t="s">
        <v>230</v>
      </c>
      <c r="C750" s="11" t="s">
        <v>156</v>
      </c>
      <c r="D750" s="11" t="s">
        <v>500</v>
      </c>
      <c r="E750" s="11" t="s">
        <v>440</v>
      </c>
      <c r="F750" s="56">
        <f>G750</f>
        <v>1048.4</v>
      </c>
      <c r="G750" s="56">
        <f>G751</f>
        <v>1048.4</v>
      </c>
      <c r="H750" s="56"/>
    </row>
    <row r="751" spans="1:8" ht="24.75" customHeight="1" hidden="1">
      <c r="A751" s="23" t="s">
        <v>199</v>
      </c>
      <c r="B751" s="11" t="s">
        <v>230</v>
      </c>
      <c r="C751" s="11" t="s">
        <v>156</v>
      </c>
      <c r="D751" s="11" t="s">
        <v>500</v>
      </c>
      <c r="E751" s="11" t="s">
        <v>440</v>
      </c>
      <c r="F751" s="56">
        <f>G751</f>
        <v>1048.4</v>
      </c>
      <c r="G751" s="56">
        <f>G752</f>
        <v>1048.4</v>
      </c>
      <c r="H751" s="56"/>
    </row>
    <row r="752" spans="1:8" ht="115.5" customHeight="1">
      <c r="A752" s="23" t="s">
        <v>977</v>
      </c>
      <c r="B752" s="11" t="s">
        <v>230</v>
      </c>
      <c r="C752" s="11" t="s">
        <v>156</v>
      </c>
      <c r="D752" s="11" t="s">
        <v>976</v>
      </c>
      <c r="E752" s="11" t="s">
        <v>440</v>
      </c>
      <c r="F752" s="56">
        <f>G752+H752</f>
        <v>1048.4</v>
      </c>
      <c r="G752" s="56">
        <f>284.9+763.5</f>
        <v>1048.4</v>
      </c>
      <c r="H752" s="56"/>
    </row>
    <row r="753" spans="1:8" ht="82.5" customHeight="1" hidden="1">
      <c r="A753" s="23" t="s">
        <v>653</v>
      </c>
      <c r="B753" s="11" t="s">
        <v>230</v>
      </c>
      <c r="C753" s="11" t="s">
        <v>156</v>
      </c>
      <c r="D753" s="11" t="s">
        <v>688</v>
      </c>
      <c r="E753" s="11" t="s">
        <v>440</v>
      </c>
      <c r="F753" s="56">
        <f>G753</f>
        <v>0</v>
      </c>
      <c r="G753" s="56">
        <v>0</v>
      </c>
      <c r="H753" s="56"/>
    </row>
    <row r="754" spans="1:9" ht="18" customHeight="1">
      <c r="A754" s="54" t="s">
        <v>236</v>
      </c>
      <c r="B754" s="3"/>
      <c r="C754" s="3"/>
      <c r="D754" s="3"/>
      <c r="E754" s="3"/>
      <c r="F754" s="101">
        <f>H754+G754</f>
        <v>718201.52893</v>
      </c>
      <c r="G754" s="101">
        <f>G13+G197+G206+G222+G227+G277+G324+G522+G665+G728+G735+G611+G606</f>
        <v>371102.63049999997</v>
      </c>
      <c r="H754" s="101">
        <f>H13+H197+H206+H222+H227+H277+H324+H522+H665+H728+H735+H611+H606</f>
        <v>347098.89843000006</v>
      </c>
      <c r="I754" s="130"/>
    </row>
    <row r="755" spans="1:8" ht="15">
      <c r="A755" s="7"/>
      <c r="B755" s="7"/>
      <c r="C755" s="134"/>
      <c r="D755" s="135"/>
      <c r="E755" s="134"/>
      <c r="F755" s="126"/>
      <c r="G755" s="126"/>
      <c r="H755" s="126"/>
    </row>
    <row r="756" spans="4:9" ht="15">
      <c r="D756" s="135"/>
      <c r="E756" s="134"/>
      <c r="F756" s="126"/>
      <c r="G756" s="126"/>
      <c r="H756" s="126"/>
      <c r="I756" s="126"/>
    </row>
    <row r="757" spans="4:8" ht="15">
      <c r="D757" s="136"/>
      <c r="E757" s="137"/>
      <c r="F757" s="126"/>
      <c r="G757" s="126"/>
      <c r="H757" s="126"/>
    </row>
    <row r="758" spans="4:10" ht="15">
      <c r="D758" s="319"/>
      <c r="F758" s="126"/>
      <c r="G758" s="126"/>
      <c r="H758" s="126"/>
      <c r="J758" s="130"/>
    </row>
    <row r="759" spans="4:8" ht="15.75">
      <c r="D759" s="320"/>
      <c r="E759" s="320"/>
      <c r="F759" s="138"/>
      <c r="G759" s="138"/>
      <c r="H759" s="138"/>
    </row>
    <row r="760" spans="6:8" ht="15">
      <c r="F760" s="130"/>
      <c r="G760" s="130"/>
      <c r="H760" s="130"/>
    </row>
  </sheetData>
  <sheetProtection/>
  <mergeCells count="14">
    <mergeCell ref="A8:H8"/>
    <mergeCell ref="A10:A11"/>
    <mergeCell ref="B10:B11"/>
    <mergeCell ref="C10:C11"/>
    <mergeCell ref="D10:D11"/>
    <mergeCell ref="E10:E11"/>
    <mergeCell ref="F10:F11"/>
    <mergeCell ref="G10:H10"/>
    <mergeCell ref="F1:H1"/>
    <mergeCell ref="F2:H2"/>
    <mergeCell ref="F3:H3"/>
    <mergeCell ref="F4:H4"/>
    <mergeCell ref="A6:H6"/>
    <mergeCell ref="A7:H7"/>
  </mergeCells>
  <printOptions/>
  <pageMargins left="0.2362204724409449" right="0.2362204724409449" top="0.7480314960629921" bottom="0.7480314960629921" header="0.31496062992125984" footer="0.31496062992125984"/>
  <pageSetup fitToHeight="0" horizontalDpi="600" verticalDpi="600" orientation="portrait" paperSize="9" scale="60" r:id="rId1"/>
  <rowBreaks count="8" manualBreakCount="8">
    <brk id="266" max="7" man="1"/>
    <brk id="314" max="7" man="1"/>
    <brk id="397" max="7" man="1"/>
    <brk id="427" max="7" man="1"/>
    <brk id="477" max="7" man="1"/>
    <brk id="554" max="7" man="1"/>
    <brk id="593" max="7" man="1"/>
    <brk id="692" max="7" man="1"/>
  </rowBreaks>
</worksheet>
</file>

<file path=xl/worksheets/sheet4.xml><?xml version="1.0" encoding="utf-8"?>
<worksheet xmlns="http://schemas.openxmlformats.org/spreadsheetml/2006/main" xmlns:r="http://schemas.openxmlformats.org/officeDocument/2006/relationships">
  <sheetPr>
    <tabColor rgb="FFFF0000"/>
  </sheetPr>
  <dimension ref="A1:T808"/>
  <sheetViews>
    <sheetView view="pageBreakPreview" zoomScale="90" zoomScaleSheetLayoutView="90" zoomScalePageLayoutView="0" workbookViewId="0" topLeftCell="A782">
      <selection activeCell="A782" sqref="A1:IV16384"/>
    </sheetView>
  </sheetViews>
  <sheetFormatPr defaultColWidth="8.625" defaultRowHeight="12.75"/>
  <cols>
    <col min="1" max="1" width="43.375" style="58" customWidth="1"/>
    <col min="2" max="2" width="5.50390625" style="21" customWidth="1"/>
    <col min="3" max="3" width="4.625" style="21" customWidth="1"/>
    <col min="4" max="4" width="5.375" style="21" customWidth="1"/>
    <col min="5" max="5" width="13.625" style="21" customWidth="1"/>
    <col min="6" max="6" width="5.375" style="21" customWidth="1"/>
    <col min="7" max="7" width="17.625" style="21" customWidth="1"/>
    <col min="8" max="8" width="18.375" style="21" customWidth="1"/>
    <col min="9" max="9" width="16.625" style="21" customWidth="1"/>
    <col min="10" max="10" width="17.375" style="21" customWidth="1"/>
    <col min="11" max="11" width="13.625" style="21" bestFit="1" customWidth="1"/>
    <col min="12" max="12" width="13.50390625" style="21" bestFit="1" customWidth="1"/>
    <col min="13" max="17" width="8.625" style="21" customWidth="1"/>
    <col min="18" max="20" width="9.125" style="21" bestFit="1" customWidth="1"/>
    <col min="21" max="16384" width="8.625" style="21" customWidth="1"/>
  </cols>
  <sheetData>
    <row r="1" spans="2:9" ht="13.5">
      <c r="B1" s="169"/>
      <c r="C1" s="169"/>
      <c r="D1" s="169"/>
      <c r="F1" s="169"/>
      <c r="G1" s="281" t="s">
        <v>891</v>
      </c>
      <c r="H1" s="281"/>
      <c r="I1" s="281"/>
    </row>
    <row r="2" spans="2:9" ht="13.5">
      <c r="B2" s="22"/>
      <c r="C2" s="22"/>
      <c r="D2" s="22"/>
      <c r="E2" s="22"/>
      <c r="F2" s="281" t="s">
        <v>394</v>
      </c>
      <c r="G2" s="281"/>
      <c r="H2" s="281"/>
      <c r="I2" s="281"/>
    </row>
    <row r="3" spans="2:9" ht="13.5">
      <c r="B3" s="281"/>
      <c r="C3" s="281"/>
      <c r="D3" s="281"/>
      <c r="E3" s="281"/>
      <c r="F3" s="281"/>
      <c r="G3" s="281" t="s">
        <v>395</v>
      </c>
      <c r="H3" s="281"/>
      <c r="I3" s="281"/>
    </row>
    <row r="4" spans="2:9" ht="13.5">
      <c r="B4" s="282"/>
      <c r="C4" s="282"/>
      <c r="D4" s="282"/>
      <c r="E4" s="282"/>
      <c r="F4" s="282"/>
      <c r="G4" s="282" t="s">
        <v>996</v>
      </c>
      <c r="H4" s="282"/>
      <c r="I4" s="282"/>
    </row>
    <row r="6" spans="1:9" ht="13.5">
      <c r="A6" s="283" t="s">
        <v>396</v>
      </c>
      <c r="B6" s="283"/>
      <c r="C6" s="283"/>
      <c r="D6" s="283"/>
      <c r="E6" s="283"/>
      <c r="F6" s="283"/>
      <c r="G6" s="283"/>
      <c r="H6" s="283"/>
      <c r="I6" s="283"/>
    </row>
    <row r="7" spans="1:9" ht="35.25" customHeight="1">
      <c r="A7" s="284" t="s">
        <v>752</v>
      </c>
      <c r="B7" s="284"/>
      <c r="C7" s="284"/>
      <c r="D7" s="284"/>
      <c r="E7" s="284"/>
      <c r="F7" s="284"/>
      <c r="G7" s="284"/>
      <c r="H7" s="284"/>
      <c r="I7" s="284"/>
    </row>
    <row r="9" ht="13.5">
      <c r="I9" s="96" t="s">
        <v>139</v>
      </c>
    </row>
    <row r="10" spans="1:9" ht="13.5">
      <c r="A10" s="280" t="s">
        <v>336</v>
      </c>
      <c r="B10" s="280" t="s">
        <v>337</v>
      </c>
      <c r="C10" s="288" t="s">
        <v>145</v>
      </c>
      <c r="D10" s="288" t="s">
        <v>146</v>
      </c>
      <c r="E10" s="280" t="s">
        <v>338</v>
      </c>
      <c r="F10" s="280" t="s">
        <v>339</v>
      </c>
      <c r="G10" s="280" t="s">
        <v>619</v>
      </c>
      <c r="H10" s="280" t="s">
        <v>340</v>
      </c>
      <c r="I10" s="280"/>
    </row>
    <row r="11" spans="1:9" ht="13.5">
      <c r="A11" s="280"/>
      <c r="B11" s="280"/>
      <c r="C11" s="288"/>
      <c r="D11" s="288"/>
      <c r="E11" s="280"/>
      <c r="F11" s="280"/>
      <c r="G11" s="280"/>
      <c r="H11" s="50" t="s">
        <v>341</v>
      </c>
      <c r="I11" s="50" t="s">
        <v>280</v>
      </c>
    </row>
    <row r="12" spans="1:9" ht="30.75" customHeight="1">
      <c r="A12" s="321" t="s">
        <v>342</v>
      </c>
      <c r="B12" s="150">
        <v>951</v>
      </c>
      <c r="C12" s="150" t="s">
        <v>150</v>
      </c>
      <c r="D12" s="150" t="s">
        <v>150</v>
      </c>
      <c r="E12" s="150" t="s">
        <v>311</v>
      </c>
      <c r="F12" s="150" t="s">
        <v>398</v>
      </c>
      <c r="G12" s="82">
        <f>I12+H12</f>
        <v>174740.74336999998</v>
      </c>
      <c r="H12" s="82">
        <f>H13+H146+H154+H170+H175+H225+H273+H331+H420+H464+H507+H414</f>
        <v>110569.47013</v>
      </c>
      <c r="I12" s="82">
        <f>I13+I146+I154+I170+I175+I225+I273+I331+I420+I464+I507</f>
        <v>64171.273239999995</v>
      </c>
    </row>
    <row r="13" spans="1:12" ht="18" customHeight="1">
      <c r="A13" s="321" t="s">
        <v>343</v>
      </c>
      <c r="B13" s="150">
        <v>951</v>
      </c>
      <c r="C13" s="150" t="s">
        <v>149</v>
      </c>
      <c r="D13" s="150" t="s">
        <v>150</v>
      </c>
      <c r="E13" s="150" t="s">
        <v>311</v>
      </c>
      <c r="F13" s="150" t="s">
        <v>398</v>
      </c>
      <c r="G13" s="82">
        <f aca="true" t="shared" si="0" ref="G13:G33">H13+I13</f>
        <v>44731.22296</v>
      </c>
      <c r="H13" s="82">
        <f>H14+H20+H30+H37+H43+H34</f>
        <v>38919.47171</v>
      </c>
      <c r="I13" s="82">
        <f>I14+I20+I30+I37+I43+I34</f>
        <v>5811.751249999999</v>
      </c>
      <c r="K13" s="238"/>
      <c r="L13" s="73"/>
    </row>
    <row r="14" spans="1:11" ht="44.25" customHeight="1">
      <c r="A14" s="43" t="s">
        <v>344</v>
      </c>
      <c r="B14" s="17">
        <v>951</v>
      </c>
      <c r="C14" s="30" t="s">
        <v>149</v>
      </c>
      <c r="D14" s="30" t="s">
        <v>151</v>
      </c>
      <c r="E14" s="30" t="s">
        <v>311</v>
      </c>
      <c r="F14" s="30" t="s">
        <v>398</v>
      </c>
      <c r="G14" s="74">
        <f t="shared" si="0"/>
        <v>2678.9199999999996</v>
      </c>
      <c r="H14" s="74">
        <f aca="true" t="shared" si="1" ref="H14:I18">H15</f>
        <v>2678.9199999999996</v>
      </c>
      <c r="I14" s="74">
        <f t="shared" si="1"/>
        <v>0</v>
      </c>
      <c r="J14" s="73"/>
      <c r="K14" s="73"/>
    </row>
    <row r="15" spans="1:9" ht="32.25" customHeight="1">
      <c r="A15" s="43" t="s">
        <v>152</v>
      </c>
      <c r="B15" s="17">
        <v>951</v>
      </c>
      <c r="C15" s="30" t="s">
        <v>149</v>
      </c>
      <c r="D15" s="30" t="s">
        <v>151</v>
      </c>
      <c r="E15" s="30" t="s">
        <v>17</v>
      </c>
      <c r="F15" s="30" t="s">
        <v>398</v>
      </c>
      <c r="G15" s="74">
        <f t="shared" si="0"/>
        <v>2678.9199999999996</v>
      </c>
      <c r="H15" s="74">
        <f t="shared" si="1"/>
        <v>2678.9199999999996</v>
      </c>
      <c r="I15" s="74">
        <f t="shared" si="1"/>
        <v>0</v>
      </c>
    </row>
    <row r="16" spans="1:9" ht="45.75" customHeight="1">
      <c r="A16" s="43" t="s">
        <v>153</v>
      </c>
      <c r="B16" s="17">
        <v>951</v>
      </c>
      <c r="C16" s="30" t="s">
        <v>149</v>
      </c>
      <c r="D16" s="30" t="s">
        <v>151</v>
      </c>
      <c r="E16" s="30" t="s">
        <v>18</v>
      </c>
      <c r="F16" s="30" t="s">
        <v>398</v>
      </c>
      <c r="G16" s="74">
        <f t="shared" si="0"/>
        <v>2678.9199999999996</v>
      </c>
      <c r="H16" s="74">
        <f t="shared" si="1"/>
        <v>2678.9199999999996</v>
      </c>
      <c r="I16" s="74">
        <f t="shared" si="1"/>
        <v>0</v>
      </c>
    </row>
    <row r="17" spans="1:9" ht="16.5" customHeight="1">
      <c r="A17" s="43" t="s">
        <v>403</v>
      </c>
      <c r="B17" s="17">
        <v>951</v>
      </c>
      <c r="C17" s="30" t="s">
        <v>149</v>
      </c>
      <c r="D17" s="30" t="s">
        <v>151</v>
      </c>
      <c r="E17" s="30" t="s">
        <v>19</v>
      </c>
      <c r="F17" s="30" t="s">
        <v>398</v>
      </c>
      <c r="G17" s="74">
        <f t="shared" si="0"/>
        <v>2678.9199999999996</v>
      </c>
      <c r="H17" s="74">
        <f t="shared" si="1"/>
        <v>2678.9199999999996</v>
      </c>
      <c r="I17" s="74">
        <f t="shared" si="1"/>
        <v>0</v>
      </c>
    </row>
    <row r="18" spans="1:9" ht="81" customHeight="1">
      <c r="A18" s="14" t="s">
        <v>185</v>
      </c>
      <c r="B18" s="17">
        <v>951</v>
      </c>
      <c r="C18" s="30" t="s">
        <v>149</v>
      </c>
      <c r="D18" s="30" t="s">
        <v>151</v>
      </c>
      <c r="E18" s="30" t="s">
        <v>19</v>
      </c>
      <c r="F18" s="30" t="s">
        <v>154</v>
      </c>
      <c r="G18" s="74">
        <f t="shared" si="0"/>
        <v>2678.9199999999996</v>
      </c>
      <c r="H18" s="74">
        <f t="shared" si="1"/>
        <v>2678.9199999999996</v>
      </c>
      <c r="I18" s="74">
        <f t="shared" si="1"/>
        <v>0</v>
      </c>
    </row>
    <row r="19" spans="1:9" ht="30" customHeight="1">
      <c r="A19" s="14" t="s">
        <v>187</v>
      </c>
      <c r="B19" s="17">
        <v>951</v>
      </c>
      <c r="C19" s="30" t="s">
        <v>149</v>
      </c>
      <c r="D19" s="30" t="s">
        <v>151</v>
      </c>
      <c r="E19" s="30" t="s">
        <v>19</v>
      </c>
      <c r="F19" s="30" t="s">
        <v>186</v>
      </c>
      <c r="G19" s="74">
        <f t="shared" si="0"/>
        <v>2678.9199999999996</v>
      </c>
      <c r="H19" s="109">
        <f>1926.07+560+122.6+56.5+13.75</f>
        <v>2678.9199999999996</v>
      </c>
      <c r="I19" s="74"/>
    </row>
    <row r="20" spans="1:11" ht="69">
      <c r="A20" s="14" t="s">
        <v>326</v>
      </c>
      <c r="B20" s="17">
        <v>951</v>
      </c>
      <c r="C20" s="30" t="s">
        <v>149</v>
      </c>
      <c r="D20" s="30" t="s">
        <v>160</v>
      </c>
      <c r="E20" s="30" t="s">
        <v>311</v>
      </c>
      <c r="F20" s="30" t="s">
        <v>398</v>
      </c>
      <c r="G20" s="74">
        <f t="shared" si="0"/>
        <v>26851.1591</v>
      </c>
      <c r="H20" s="74">
        <f>H21</f>
        <v>26851.1591</v>
      </c>
      <c r="I20" s="74">
        <f aca="true" t="shared" si="2" ref="H20:I22">I21</f>
        <v>0</v>
      </c>
      <c r="K20" s="73"/>
    </row>
    <row r="21" spans="1:9" ht="27">
      <c r="A21" s="14" t="s">
        <v>152</v>
      </c>
      <c r="B21" s="17">
        <v>951</v>
      </c>
      <c r="C21" s="30" t="s">
        <v>149</v>
      </c>
      <c r="D21" s="30" t="s">
        <v>160</v>
      </c>
      <c r="E21" s="30" t="s">
        <v>17</v>
      </c>
      <c r="F21" s="30" t="s">
        <v>398</v>
      </c>
      <c r="G21" s="74">
        <f t="shared" si="0"/>
        <v>26851.1591</v>
      </c>
      <c r="H21" s="74">
        <f t="shared" si="2"/>
        <v>26851.1591</v>
      </c>
      <c r="I21" s="74">
        <f t="shared" si="2"/>
        <v>0</v>
      </c>
    </row>
    <row r="22" spans="1:9" ht="45" customHeight="1">
      <c r="A22" s="14" t="s">
        <v>153</v>
      </c>
      <c r="B22" s="17">
        <v>951</v>
      </c>
      <c r="C22" s="30" t="s">
        <v>149</v>
      </c>
      <c r="D22" s="30" t="s">
        <v>160</v>
      </c>
      <c r="E22" s="30" t="s">
        <v>18</v>
      </c>
      <c r="F22" s="30" t="s">
        <v>398</v>
      </c>
      <c r="G22" s="74">
        <f t="shared" si="0"/>
        <v>26851.1591</v>
      </c>
      <c r="H22" s="74">
        <f t="shared" si="2"/>
        <v>26851.1591</v>
      </c>
      <c r="I22" s="74">
        <f t="shared" si="2"/>
        <v>0</v>
      </c>
    </row>
    <row r="23" spans="1:11" ht="45" customHeight="1">
      <c r="A23" s="14" t="s">
        <v>157</v>
      </c>
      <c r="B23" s="17">
        <v>951</v>
      </c>
      <c r="C23" s="30" t="s">
        <v>149</v>
      </c>
      <c r="D23" s="30" t="s">
        <v>160</v>
      </c>
      <c r="E23" s="30" t="s">
        <v>21</v>
      </c>
      <c r="F23" s="30" t="s">
        <v>398</v>
      </c>
      <c r="G23" s="74">
        <f t="shared" si="0"/>
        <v>26851.1591</v>
      </c>
      <c r="H23" s="74">
        <f>H24+H26+H28</f>
        <v>26851.1591</v>
      </c>
      <c r="I23" s="74">
        <f>I24+I26+I28</f>
        <v>0</v>
      </c>
      <c r="K23" s="73"/>
    </row>
    <row r="24" spans="1:11" ht="90.75" customHeight="1">
      <c r="A24" s="14" t="s">
        <v>185</v>
      </c>
      <c r="B24" s="17">
        <v>951</v>
      </c>
      <c r="C24" s="30" t="s">
        <v>149</v>
      </c>
      <c r="D24" s="30" t="s">
        <v>160</v>
      </c>
      <c r="E24" s="30" t="s">
        <v>21</v>
      </c>
      <c r="F24" s="30" t="s">
        <v>154</v>
      </c>
      <c r="G24" s="74">
        <f t="shared" si="0"/>
        <v>13618.5</v>
      </c>
      <c r="H24" s="74">
        <f>H25</f>
        <v>13618.5</v>
      </c>
      <c r="I24" s="74">
        <f>I25</f>
        <v>0</v>
      </c>
      <c r="J24" s="73"/>
      <c r="K24" s="73"/>
    </row>
    <row r="25" spans="1:10" ht="30.75" customHeight="1">
      <c r="A25" s="14" t="s">
        <v>187</v>
      </c>
      <c r="B25" s="17">
        <v>951</v>
      </c>
      <c r="C25" s="30" t="s">
        <v>149</v>
      </c>
      <c r="D25" s="30" t="s">
        <v>160</v>
      </c>
      <c r="E25" s="30" t="s">
        <v>21</v>
      </c>
      <c r="F25" s="30" t="s">
        <v>186</v>
      </c>
      <c r="G25" s="74">
        <f t="shared" si="0"/>
        <v>13618.5</v>
      </c>
      <c r="H25" s="74">
        <f>9994.7+180+3018.4+392.05+118.35-20-50-15</f>
        <v>13618.5</v>
      </c>
      <c r="I25" s="74"/>
      <c r="J25" s="73"/>
    </row>
    <row r="26" spans="1:11" ht="27">
      <c r="A26" s="14" t="s">
        <v>188</v>
      </c>
      <c r="B26" s="17">
        <v>951</v>
      </c>
      <c r="C26" s="30" t="s">
        <v>149</v>
      </c>
      <c r="D26" s="30" t="s">
        <v>160</v>
      </c>
      <c r="E26" s="30" t="s">
        <v>21</v>
      </c>
      <c r="F26" s="30" t="s">
        <v>158</v>
      </c>
      <c r="G26" s="74">
        <f t="shared" si="0"/>
        <v>12690.6591</v>
      </c>
      <c r="H26" s="74">
        <f>H27</f>
        <v>12690.6591</v>
      </c>
      <c r="I26" s="74">
        <f>I27</f>
        <v>0</v>
      </c>
      <c r="K26" s="73"/>
    </row>
    <row r="27" spans="1:9" ht="41.25">
      <c r="A27" s="14" t="s">
        <v>189</v>
      </c>
      <c r="B27" s="17">
        <v>951</v>
      </c>
      <c r="C27" s="30" t="s">
        <v>149</v>
      </c>
      <c r="D27" s="30" t="s">
        <v>160</v>
      </c>
      <c r="E27" s="30" t="s">
        <v>21</v>
      </c>
      <c r="F27" s="30" t="s">
        <v>190</v>
      </c>
      <c r="G27" s="74">
        <f t="shared" si="0"/>
        <v>12690.6591</v>
      </c>
      <c r="H27" s="74">
        <f>9616.943-2000-81.15661-200+2574-300+3125.67271-17.8-2-25</f>
        <v>12690.6591</v>
      </c>
      <c r="I27" s="74"/>
    </row>
    <row r="28" spans="1:9" ht="13.5">
      <c r="A28" s="14" t="s">
        <v>193</v>
      </c>
      <c r="B28" s="17">
        <v>951</v>
      </c>
      <c r="C28" s="30" t="s">
        <v>149</v>
      </c>
      <c r="D28" s="30" t="s">
        <v>160</v>
      </c>
      <c r="E28" s="30" t="s">
        <v>21</v>
      </c>
      <c r="F28" s="30" t="s">
        <v>194</v>
      </c>
      <c r="G28" s="74">
        <f t="shared" si="0"/>
        <v>542</v>
      </c>
      <c r="H28" s="74">
        <f>H29</f>
        <v>542</v>
      </c>
      <c r="I28" s="74">
        <f>I29</f>
        <v>0</v>
      </c>
    </row>
    <row r="29" spans="1:9" ht="13.5">
      <c r="A29" s="31" t="s">
        <v>191</v>
      </c>
      <c r="B29" s="17">
        <v>951</v>
      </c>
      <c r="C29" s="30" t="s">
        <v>149</v>
      </c>
      <c r="D29" s="30" t="s">
        <v>160</v>
      </c>
      <c r="E29" s="30" t="s">
        <v>21</v>
      </c>
      <c r="F29" s="30" t="s">
        <v>192</v>
      </c>
      <c r="G29" s="74">
        <f t="shared" si="0"/>
        <v>542</v>
      </c>
      <c r="H29" s="74">
        <f>492+50</f>
        <v>542</v>
      </c>
      <c r="I29" s="74"/>
    </row>
    <row r="30" spans="1:9" ht="13.5" hidden="1">
      <c r="A30" s="14" t="s">
        <v>165</v>
      </c>
      <c r="B30" s="17">
        <v>951</v>
      </c>
      <c r="C30" s="30" t="s">
        <v>149</v>
      </c>
      <c r="D30" s="30" t="s">
        <v>166</v>
      </c>
      <c r="E30" s="30" t="s">
        <v>311</v>
      </c>
      <c r="F30" s="30" t="s">
        <v>398</v>
      </c>
      <c r="G30" s="74">
        <f t="shared" si="0"/>
        <v>0</v>
      </c>
      <c r="H30" s="74">
        <f aca="true" t="shared" si="3" ref="H30:I32">H31</f>
        <v>0</v>
      </c>
      <c r="I30" s="74">
        <f t="shared" si="3"/>
        <v>0</v>
      </c>
    </row>
    <row r="31" spans="1:9" ht="27" hidden="1">
      <c r="A31" s="14" t="s">
        <v>167</v>
      </c>
      <c r="B31" s="17">
        <v>951</v>
      </c>
      <c r="C31" s="30" t="s">
        <v>149</v>
      </c>
      <c r="D31" s="30" t="s">
        <v>166</v>
      </c>
      <c r="E31" s="30" t="s">
        <v>323</v>
      </c>
      <c r="F31" s="30" t="s">
        <v>398</v>
      </c>
      <c r="G31" s="74">
        <f t="shared" si="0"/>
        <v>0</v>
      </c>
      <c r="H31" s="74">
        <f t="shared" si="3"/>
        <v>0</v>
      </c>
      <c r="I31" s="74">
        <f t="shared" si="3"/>
        <v>0</v>
      </c>
    </row>
    <row r="32" spans="1:9" ht="13.5" hidden="1">
      <c r="A32" s="14" t="s">
        <v>193</v>
      </c>
      <c r="B32" s="17">
        <v>951</v>
      </c>
      <c r="C32" s="30" t="s">
        <v>149</v>
      </c>
      <c r="D32" s="30" t="s">
        <v>166</v>
      </c>
      <c r="E32" s="30" t="s">
        <v>323</v>
      </c>
      <c r="F32" s="30" t="s">
        <v>194</v>
      </c>
      <c r="G32" s="74">
        <f t="shared" si="0"/>
        <v>0</v>
      </c>
      <c r="H32" s="74">
        <f t="shared" si="3"/>
        <v>0</v>
      </c>
      <c r="I32" s="74">
        <f t="shared" si="3"/>
        <v>0</v>
      </c>
    </row>
    <row r="33" spans="1:9" ht="13.5" hidden="1">
      <c r="A33" s="14" t="s">
        <v>195</v>
      </c>
      <c r="B33" s="17">
        <v>951</v>
      </c>
      <c r="C33" s="30" t="s">
        <v>149</v>
      </c>
      <c r="D33" s="30" t="s">
        <v>166</v>
      </c>
      <c r="E33" s="30" t="s">
        <v>323</v>
      </c>
      <c r="F33" s="30" t="s">
        <v>196</v>
      </c>
      <c r="G33" s="74">
        <f t="shared" si="0"/>
        <v>0</v>
      </c>
      <c r="H33" s="74">
        <v>0</v>
      </c>
      <c r="I33" s="74"/>
    </row>
    <row r="34" spans="1:9" ht="42" customHeight="1">
      <c r="A34" s="31" t="s">
        <v>689</v>
      </c>
      <c r="B34" s="17" t="s">
        <v>177</v>
      </c>
      <c r="C34" s="30" t="s">
        <v>149</v>
      </c>
      <c r="D34" s="30" t="s">
        <v>377</v>
      </c>
      <c r="E34" s="30" t="s">
        <v>443</v>
      </c>
      <c r="F34" s="30" t="s">
        <v>398</v>
      </c>
      <c r="G34" s="74">
        <f>I34</f>
        <v>173.891</v>
      </c>
      <c r="H34" s="74"/>
      <c r="I34" s="74">
        <f>I35</f>
        <v>173.891</v>
      </c>
    </row>
    <row r="35" spans="1:9" ht="27">
      <c r="A35" s="14" t="s">
        <v>188</v>
      </c>
      <c r="B35" s="17" t="s">
        <v>177</v>
      </c>
      <c r="C35" s="30" t="s">
        <v>149</v>
      </c>
      <c r="D35" s="30" t="s">
        <v>377</v>
      </c>
      <c r="E35" s="30" t="s">
        <v>443</v>
      </c>
      <c r="F35" s="30" t="s">
        <v>158</v>
      </c>
      <c r="G35" s="74">
        <f>I35</f>
        <v>173.891</v>
      </c>
      <c r="H35" s="74"/>
      <c r="I35" s="74">
        <f>I36</f>
        <v>173.891</v>
      </c>
    </row>
    <row r="36" spans="1:9" ht="41.25">
      <c r="A36" s="14" t="s">
        <v>189</v>
      </c>
      <c r="B36" s="17" t="s">
        <v>177</v>
      </c>
      <c r="C36" s="30" t="s">
        <v>149</v>
      </c>
      <c r="D36" s="30" t="s">
        <v>377</v>
      </c>
      <c r="E36" s="30" t="s">
        <v>443</v>
      </c>
      <c r="F36" s="30" t="s">
        <v>190</v>
      </c>
      <c r="G36" s="74">
        <f>I36</f>
        <v>173.891</v>
      </c>
      <c r="H36" s="74"/>
      <c r="I36" s="74">
        <v>173.891</v>
      </c>
    </row>
    <row r="37" spans="1:9" ht="14.25">
      <c r="A37" s="61" t="s">
        <v>165</v>
      </c>
      <c r="B37" s="76" t="s">
        <v>177</v>
      </c>
      <c r="C37" s="62" t="s">
        <v>149</v>
      </c>
      <c r="D37" s="62" t="s">
        <v>166</v>
      </c>
      <c r="E37" s="62" t="s">
        <v>311</v>
      </c>
      <c r="F37" s="62" t="s">
        <v>398</v>
      </c>
      <c r="G37" s="77">
        <f aca="true" t="shared" si="4" ref="G37:G43">H37+I37</f>
        <v>2877.0869199999997</v>
      </c>
      <c r="H37" s="77">
        <f>H38</f>
        <v>2877.0869199999997</v>
      </c>
      <c r="I37" s="77"/>
    </row>
    <row r="38" spans="1:9" ht="27">
      <c r="A38" s="177" t="s">
        <v>152</v>
      </c>
      <c r="B38" s="17" t="s">
        <v>177</v>
      </c>
      <c r="C38" s="30" t="s">
        <v>149</v>
      </c>
      <c r="D38" s="30" t="s">
        <v>166</v>
      </c>
      <c r="E38" s="59" t="s">
        <v>17</v>
      </c>
      <c r="F38" s="59" t="s">
        <v>398</v>
      </c>
      <c r="G38" s="74">
        <f t="shared" si="4"/>
        <v>2877.0869199999997</v>
      </c>
      <c r="H38" s="74">
        <f>H39</f>
        <v>2877.0869199999997</v>
      </c>
      <c r="I38" s="74"/>
    </row>
    <row r="39" spans="1:9" ht="33" customHeight="1">
      <c r="A39" s="177" t="s">
        <v>153</v>
      </c>
      <c r="B39" s="17" t="s">
        <v>177</v>
      </c>
      <c r="C39" s="30" t="s">
        <v>149</v>
      </c>
      <c r="D39" s="30" t="s">
        <v>166</v>
      </c>
      <c r="E39" s="59" t="s">
        <v>18</v>
      </c>
      <c r="F39" s="59" t="s">
        <v>398</v>
      </c>
      <c r="G39" s="74">
        <f t="shared" si="4"/>
        <v>2877.0869199999997</v>
      </c>
      <c r="H39" s="74">
        <f>H40</f>
        <v>2877.0869199999997</v>
      </c>
      <c r="I39" s="74"/>
    </row>
    <row r="40" spans="1:9" ht="27">
      <c r="A40" s="177" t="s">
        <v>529</v>
      </c>
      <c r="B40" s="17" t="s">
        <v>177</v>
      </c>
      <c r="C40" s="30" t="s">
        <v>149</v>
      </c>
      <c r="D40" s="30" t="s">
        <v>166</v>
      </c>
      <c r="E40" s="30" t="s">
        <v>530</v>
      </c>
      <c r="F40" s="59" t="s">
        <v>398</v>
      </c>
      <c r="G40" s="74">
        <f t="shared" si="4"/>
        <v>2877.0869199999997</v>
      </c>
      <c r="H40" s="74">
        <f>H41</f>
        <v>2877.0869199999997</v>
      </c>
      <c r="I40" s="74"/>
    </row>
    <row r="41" spans="1:9" ht="13.5">
      <c r="A41" s="177" t="s">
        <v>193</v>
      </c>
      <c r="B41" s="17" t="s">
        <v>177</v>
      </c>
      <c r="C41" s="30" t="s">
        <v>149</v>
      </c>
      <c r="D41" s="30" t="s">
        <v>166</v>
      </c>
      <c r="E41" s="30" t="s">
        <v>530</v>
      </c>
      <c r="F41" s="59" t="s">
        <v>194</v>
      </c>
      <c r="G41" s="74">
        <f t="shared" si="4"/>
        <v>2877.0869199999997</v>
      </c>
      <c r="H41" s="74">
        <f>H42</f>
        <v>2877.0869199999997</v>
      </c>
      <c r="I41" s="74"/>
    </row>
    <row r="42" spans="1:9" ht="13.5">
      <c r="A42" s="177" t="s">
        <v>195</v>
      </c>
      <c r="B42" s="17" t="s">
        <v>177</v>
      </c>
      <c r="C42" s="30" t="s">
        <v>149</v>
      </c>
      <c r="D42" s="30" t="s">
        <v>166</v>
      </c>
      <c r="E42" s="30" t="s">
        <v>530</v>
      </c>
      <c r="F42" s="59" t="s">
        <v>196</v>
      </c>
      <c r="G42" s="74">
        <f t="shared" si="4"/>
        <v>2877.0869199999997</v>
      </c>
      <c r="H42" s="74">
        <f>500-14.84-120+8000-20-5274.073-122-20-70+17.99992</f>
        <v>2877.0869199999997</v>
      </c>
      <c r="I42" s="74"/>
    </row>
    <row r="43" spans="1:9" ht="16.5" customHeight="1">
      <c r="A43" s="64" t="s">
        <v>346</v>
      </c>
      <c r="B43" s="76">
        <v>951</v>
      </c>
      <c r="C43" s="62" t="s">
        <v>149</v>
      </c>
      <c r="D43" s="62" t="s">
        <v>168</v>
      </c>
      <c r="E43" s="62" t="s">
        <v>311</v>
      </c>
      <c r="F43" s="62" t="s">
        <v>398</v>
      </c>
      <c r="G43" s="77">
        <f t="shared" si="4"/>
        <v>12150.165939999999</v>
      </c>
      <c r="H43" s="77">
        <f>H44+H76+H122+H140+H86+H70+H89+H143+H94+H162+H151</f>
        <v>6512.305689999999</v>
      </c>
      <c r="I43" s="77">
        <f>I44+I122</f>
        <v>5637.86025</v>
      </c>
    </row>
    <row r="44" spans="1:10" ht="16.5" customHeight="1">
      <c r="A44" s="14" t="s">
        <v>169</v>
      </c>
      <c r="B44" s="17">
        <v>951</v>
      </c>
      <c r="C44" s="30" t="s">
        <v>149</v>
      </c>
      <c r="D44" s="30" t="s">
        <v>168</v>
      </c>
      <c r="E44" s="30" t="s">
        <v>311</v>
      </c>
      <c r="F44" s="30" t="s">
        <v>398</v>
      </c>
      <c r="G44" s="74">
        <f aca="true" t="shared" si="5" ref="G44:G69">H44+I44</f>
        <v>5637.86025</v>
      </c>
      <c r="H44" s="74">
        <f>H45+H50+H55+H60</f>
        <v>0</v>
      </c>
      <c r="I44" s="74">
        <f>I45+I50+I55+I60+I65+I68+I99</f>
        <v>5637.86025</v>
      </c>
      <c r="J44" s="73"/>
    </row>
    <row r="45" spans="1:11" ht="58.5" customHeight="1">
      <c r="A45" s="14" t="s">
        <v>170</v>
      </c>
      <c r="B45" s="17">
        <v>951</v>
      </c>
      <c r="C45" s="30" t="s">
        <v>149</v>
      </c>
      <c r="D45" s="30" t="s">
        <v>168</v>
      </c>
      <c r="E45" s="30" t="s">
        <v>23</v>
      </c>
      <c r="F45" s="30" t="s">
        <v>398</v>
      </c>
      <c r="G45" s="74">
        <f t="shared" si="5"/>
        <v>830.909</v>
      </c>
      <c r="H45" s="74">
        <f>H46+H48</f>
        <v>0</v>
      </c>
      <c r="I45" s="74">
        <f>I46+I48</f>
        <v>830.909</v>
      </c>
      <c r="J45" s="322"/>
      <c r="K45" s="170"/>
    </row>
    <row r="46" spans="1:9" ht="84" customHeight="1">
      <c r="A46" s="14" t="s">
        <v>185</v>
      </c>
      <c r="B46" s="17">
        <v>951</v>
      </c>
      <c r="C46" s="30" t="s">
        <v>149</v>
      </c>
      <c r="D46" s="30" t="s">
        <v>168</v>
      </c>
      <c r="E46" s="30" t="s">
        <v>23</v>
      </c>
      <c r="F46" s="30" t="s">
        <v>154</v>
      </c>
      <c r="G46" s="74">
        <f t="shared" si="5"/>
        <v>579.34028</v>
      </c>
      <c r="H46" s="74">
        <f>H47</f>
        <v>0</v>
      </c>
      <c r="I46" s="74">
        <f>I47</f>
        <v>579.34028</v>
      </c>
    </row>
    <row r="47" spans="1:11" ht="29.25" customHeight="1">
      <c r="A47" s="37" t="s">
        <v>187</v>
      </c>
      <c r="B47" s="17">
        <v>951</v>
      </c>
      <c r="C47" s="30" t="s">
        <v>149</v>
      </c>
      <c r="D47" s="30" t="s">
        <v>168</v>
      </c>
      <c r="E47" s="30" t="s">
        <v>23</v>
      </c>
      <c r="F47" s="30" t="s">
        <v>186</v>
      </c>
      <c r="G47" s="74">
        <f t="shared" si="5"/>
        <v>579.34028</v>
      </c>
      <c r="H47" s="74"/>
      <c r="I47" s="74">
        <f>565.374+14-0.03372</f>
        <v>579.34028</v>
      </c>
      <c r="K47" s="73"/>
    </row>
    <row r="48" spans="1:9" ht="31.5" customHeight="1">
      <c r="A48" s="14" t="s">
        <v>188</v>
      </c>
      <c r="B48" s="17">
        <v>951</v>
      </c>
      <c r="C48" s="30" t="s">
        <v>149</v>
      </c>
      <c r="D48" s="30" t="s">
        <v>168</v>
      </c>
      <c r="E48" s="30" t="s">
        <v>23</v>
      </c>
      <c r="F48" s="30" t="s">
        <v>158</v>
      </c>
      <c r="G48" s="74">
        <f t="shared" si="5"/>
        <v>251.56872</v>
      </c>
      <c r="H48" s="74">
        <f>H49</f>
        <v>0</v>
      </c>
      <c r="I48" s="74">
        <f>I49</f>
        <v>251.56872</v>
      </c>
    </row>
    <row r="49" spans="1:9" ht="42.75" customHeight="1">
      <c r="A49" s="37" t="s">
        <v>189</v>
      </c>
      <c r="B49" s="17">
        <v>951</v>
      </c>
      <c r="C49" s="30" t="s">
        <v>149</v>
      </c>
      <c r="D49" s="30" t="s">
        <v>168</v>
      </c>
      <c r="E49" s="30" t="s">
        <v>23</v>
      </c>
      <c r="F49" s="30" t="s">
        <v>190</v>
      </c>
      <c r="G49" s="74">
        <f t="shared" si="5"/>
        <v>251.56872</v>
      </c>
      <c r="H49" s="74"/>
      <c r="I49" s="74">
        <f>265.535-14+0.03372</f>
        <v>251.56872</v>
      </c>
    </row>
    <row r="50" spans="1:11" ht="47.25" customHeight="1">
      <c r="A50" s="14" t="s">
        <v>408</v>
      </c>
      <c r="B50" s="17">
        <v>951</v>
      </c>
      <c r="C50" s="30" t="s">
        <v>149</v>
      </c>
      <c r="D50" s="30" t="s">
        <v>168</v>
      </c>
      <c r="E50" s="30" t="s">
        <v>759</v>
      </c>
      <c r="F50" s="30" t="s">
        <v>398</v>
      </c>
      <c r="G50" s="74">
        <f t="shared" si="5"/>
        <v>1256.2749999999999</v>
      </c>
      <c r="H50" s="74">
        <f>H51+H53</f>
        <v>0</v>
      </c>
      <c r="I50" s="74">
        <f>I51+I53</f>
        <v>1256.2749999999999</v>
      </c>
      <c r="K50" s="73"/>
    </row>
    <row r="51" spans="1:9" ht="75" customHeight="1">
      <c r="A51" s="14" t="s">
        <v>185</v>
      </c>
      <c r="B51" s="17" t="s">
        <v>177</v>
      </c>
      <c r="C51" s="30" t="s">
        <v>149</v>
      </c>
      <c r="D51" s="30" t="s">
        <v>168</v>
      </c>
      <c r="E51" s="30" t="s">
        <v>759</v>
      </c>
      <c r="F51" s="30" t="s">
        <v>154</v>
      </c>
      <c r="G51" s="74">
        <f t="shared" si="5"/>
        <v>1178.96571</v>
      </c>
      <c r="H51" s="74">
        <f>H52</f>
        <v>0</v>
      </c>
      <c r="I51" s="74">
        <f>I52</f>
        <v>1178.96571</v>
      </c>
    </row>
    <row r="52" spans="1:9" ht="32.25" customHeight="1">
      <c r="A52" s="37" t="s">
        <v>187</v>
      </c>
      <c r="B52" s="17" t="s">
        <v>177</v>
      </c>
      <c r="C52" s="30" t="s">
        <v>149</v>
      </c>
      <c r="D52" s="30" t="s">
        <v>168</v>
      </c>
      <c r="E52" s="30" t="s">
        <v>759</v>
      </c>
      <c r="F52" s="30" t="s">
        <v>186</v>
      </c>
      <c r="G52" s="74">
        <f t="shared" si="5"/>
        <v>1178.96571</v>
      </c>
      <c r="H52" s="74"/>
      <c r="I52" s="74">
        <f>1206.34-27.37429</f>
        <v>1178.96571</v>
      </c>
    </row>
    <row r="53" spans="1:9" ht="31.5" customHeight="1">
      <c r="A53" s="14" t="s">
        <v>188</v>
      </c>
      <c r="B53" s="17">
        <v>951</v>
      </c>
      <c r="C53" s="30" t="s">
        <v>149</v>
      </c>
      <c r="D53" s="30" t="s">
        <v>168</v>
      </c>
      <c r="E53" s="30" t="s">
        <v>759</v>
      </c>
      <c r="F53" s="30" t="s">
        <v>158</v>
      </c>
      <c r="G53" s="74">
        <f t="shared" si="5"/>
        <v>77.30929</v>
      </c>
      <c r="H53" s="74">
        <f>H54</f>
        <v>0</v>
      </c>
      <c r="I53" s="74">
        <f>I54</f>
        <v>77.30929</v>
      </c>
    </row>
    <row r="54" spans="1:9" ht="44.25" customHeight="1">
      <c r="A54" s="37" t="s">
        <v>189</v>
      </c>
      <c r="B54" s="17">
        <v>951</v>
      </c>
      <c r="C54" s="30" t="s">
        <v>149</v>
      </c>
      <c r="D54" s="30" t="s">
        <v>168</v>
      </c>
      <c r="E54" s="30" t="s">
        <v>759</v>
      </c>
      <c r="F54" s="30" t="s">
        <v>190</v>
      </c>
      <c r="G54" s="74">
        <f t="shared" si="5"/>
        <v>77.30929</v>
      </c>
      <c r="H54" s="74"/>
      <c r="I54" s="74">
        <f>49.935+27.37429</f>
        <v>77.30929</v>
      </c>
    </row>
    <row r="55" spans="1:11" ht="44.25" customHeight="1">
      <c r="A55" s="14" t="s">
        <v>171</v>
      </c>
      <c r="B55" s="17" t="s">
        <v>177</v>
      </c>
      <c r="C55" s="30" t="s">
        <v>149</v>
      </c>
      <c r="D55" s="30" t="s">
        <v>168</v>
      </c>
      <c r="E55" s="30" t="s">
        <v>759</v>
      </c>
      <c r="F55" s="30" t="s">
        <v>398</v>
      </c>
      <c r="G55" s="74">
        <f t="shared" si="5"/>
        <v>803.815</v>
      </c>
      <c r="H55" s="74">
        <f>H56+H58</f>
        <v>0</v>
      </c>
      <c r="I55" s="74">
        <f>I56+I58</f>
        <v>803.815</v>
      </c>
      <c r="J55" s="322"/>
      <c r="K55" s="73"/>
    </row>
    <row r="56" spans="1:9" ht="81" customHeight="1">
      <c r="A56" s="14" t="s">
        <v>185</v>
      </c>
      <c r="B56" s="17" t="s">
        <v>177</v>
      </c>
      <c r="C56" s="30" t="s">
        <v>149</v>
      </c>
      <c r="D56" s="30" t="s">
        <v>168</v>
      </c>
      <c r="E56" s="30" t="s">
        <v>759</v>
      </c>
      <c r="F56" s="30" t="s">
        <v>154</v>
      </c>
      <c r="G56" s="74">
        <f t="shared" si="5"/>
        <v>741.73243</v>
      </c>
      <c r="H56" s="74">
        <f>H57</f>
        <v>0</v>
      </c>
      <c r="I56" s="74">
        <f>I57</f>
        <v>741.73243</v>
      </c>
    </row>
    <row r="57" spans="1:9" ht="30" customHeight="1">
      <c r="A57" s="37" t="s">
        <v>187</v>
      </c>
      <c r="B57" s="17">
        <v>951</v>
      </c>
      <c r="C57" s="30" t="s">
        <v>149</v>
      </c>
      <c r="D57" s="30" t="s">
        <v>168</v>
      </c>
      <c r="E57" s="30" t="s">
        <v>759</v>
      </c>
      <c r="F57" s="30" t="s">
        <v>186</v>
      </c>
      <c r="G57" s="74">
        <f t="shared" si="5"/>
        <v>741.73243</v>
      </c>
      <c r="H57" s="74"/>
      <c r="I57" s="74">
        <f>753.327-11.59457</f>
        <v>741.73243</v>
      </c>
    </row>
    <row r="58" spans="1:9" ht="30.75" customHeight="1">
      <c r="A58" s="14" t="s">
        <v>188</v>
      </c>
      <c r="B58" s="17">
        <v>951</v>
      </c>
      <c r="C58" s="30" t="s">
        <v>149</v>
      </c>
      <c r="D58" s="30" t="s">
        <v>168</v>
      </c>
      <c r="E58" s="30" t="s">
        <v>759</v>
      </c>
      <c r="F58" s="30" t="s">
        <v>158</v>
      </c>
      <c r="G58" s="74">
        <f t="shared" si="5"/>
        <v>62.08257</v>
      </c>
      <c r="H58" s="74">
        <f>H59</f>
        <v>0</v>
      </c>
      <c r="I58" s="74">
        <f>I59</f>
        <v>62.08257</v>
      </c>
    </row>
    <row r="59" spans="1:9" ht="41.25">
      <c r="A59" s="37" t="s">
        <v>189</v>
      </c>
      <c r="B59" s="17">
        <v>951</v>
      </c>
      <c r="C59" s="30" t="s">
        <v>149</v>
      </c>
      <c r="D59" s="30" t="s">
        <v>168</v>
      </c>
      <c r="E59" s="30" t="s">
        <v>759</v>
      </c>
      <c r="F59" s="30" t="s">
        <v>190</v>
      </c>
      <c r="G59" s="74">
        <f t="shared" si="5"/>
        <v>62.08257</v>
      </c>
      <c r="H59" s="74"/>
      <c r="I59" s="74">
        <f>50.488+11.59457</f>
        <v>62.08257</v>
      </c>
    </row>
    <row r="60" spans="1:11" ht="87.75" customHeight="1">
      <c r="A60" s="14" t="s">
        <v>24</v>
      </c>
      <c r="B60" s="17">
        <v>951</v>
      </c>
      <c r="C60" s="30" t="s">
        <v>149</v>
      </c>
      <c r="D60" s="30" t="s">
        <v>168</v>
      </c>
      <c r="E60" s="30" t="s">
        <v>312</v>
      </c>
      <c r="F60" s="30" t="s">
        <v>398</v>
      </c>
      <c r="G60" s="74">
        <f t="shared" si="5"/>
        <v>1509.632</v>
      </c>
      <c r="H60" s="74">
        <f>H61+H63</f>
        <v>0</v>
      </c>
      <c r="I60" s="74">
        <f>I61+I63</f>
        <v>1509.632</v>
      </c>
      <c r="J60" s="118"/>
      <c r="K60" s="170"/>
    </row>
    <row r="61" spans="1:9" ht="90" customHeight="1">
      <c r="A61" s="14" t="s">
        <v>185</v>
      </c>
      <c r="B61" s="17">
        <v>951</v>
      </c>
      <c r="C61" s="30" t="s">
        <v>149</v>
      </c>
      <c r="D61" s="30" t="s">
        <v>168</v>
      </c>
      <c r="E61" s="30" t="s">
        <v>312</v>
      </c>
      <c r="F61" s="30" t="s">
        <v>154</v>
      </c>
      <c r="G61" s="74">
        <f t="shared" si="5"/>
        <v>1386.40203</v>
      </c>
      <c r="H61" s="74">
        <f>H62</f>
        <v>0</v>
      </c>
      <c r="I61" s="74">
        <f>I62</f>
        <v>1386.40203</v>
      </c>
    </row>
    <row r="62" spans="1:9" ht="27">
      <c r="A62" s="37" t="s">
        <v>187</v>
      </c>
      <c r="B62" s="17">
        <v>951</v>
      </c>
      <c r="C62" s="30" t="s">
        <v>149</v>
      </c>
      <c r="D62" s="30" t="s">
        <v>168</v>
      </c>
      <c r="E62" s="30" t="s">
        <v>312</v>
      </c>
      <c r="F62" s="30" t="s">
        <v>186</v>
      </c>
      <c r="G62" s="74">
        <f t="shared" si="5"/>
        <v>1386.40203</v>
      </c>
      <c r="H62" s="74"/>
      <c r="I62" s="74">
        <f>1332.423+61.365-8.83597+1.45</f>
        <v>1386.40203</v>
      </c>
    </row>
    <row r="63" spans="1:11" ht="27">
      <c r="A63" s="14" t="s">
        <v>188</v>
      </c>
      <c r="B63" s="17">
        <v>951</v>
      </c>
      <c r="C63" s="30" t="s">
        <v>149</v>
      </c>
      <c r="D63" s="30" t="s">
        <v>168</v>
      </c>
      <c r="E63" s="30" t="s">
        <v>312</v>
      </c>
      <c r="F63" s="30" t="s">
        <v>158</v>
      </c>
      <c r="G63" s="74">
        <f t="shared" si="5"/>
        <v>123.22997000000001</v>
      </c>
      <c r="H63" s="74">
        <f>H64</f>
        <v>0</v>
      </c>
      <c r="I63" s="74">
        <f>I64</f>
        <v>123.22997000000001</v>
      </c>
      <c r="K63" s="73"/>
    </row>
    <row r="64" spans="1:9" ht="41.25">
      <c r="A64" s="37" t="s">
        <v>189</v>
      </c>
      <c r="B64" s="17">
        <v>951</v>
      </c>
      <c r="C64" s="30" t="s">
        <v>149</v>
      </c>
      <c r="D64" s="30" t="s">
        <v>168</v>
      </c>
      <c r="E64" s="30" t="s">
        <v>312</v>
      </c>
      <c r="F64" s="30" t="s">
        <v>190</v>
      </c>
      <c r="G64" s="74">
        <f t="shared" si="5"/>
        <v>123.22997000000001</v>
      </c>
      <c r="H64" s="74"/>
      <c r="I64" s="74">
        <f>110.18+14.49997-1.45</f>
        <v>123.22997000000001</v>
      </c>
    </row>
    <row r="65" spans="1:11" ht="57.75" customHeight="1">
      <c r="A65" s="46" t="s">
        <v>811</v>
      </c>
      <c r="B65" s="63">
        <v>951</v>
      </c>
      <c r="C65" s="49" t="s">
        <v>149</v>
      </c>
      <c r="D65" s="49" t="s">
        <v>168</v>
      </c>
      <c r="E65" s="49" t="s">
        <v>812</v>
      </c>
      <c r="F65" s="49" t="s">
        <v>398</v>
      </c>
      <c r="G65" s="83">
        <f t="shared" si="5"/>
        <v>353.579</v>
      </c>
      <c r="H65" s="83"/>
      <c r="I65" s="83">
        <f>I66</f>
        <v>353.579</v>
      </c>
      <c r="K65" s="73"/>
    </row>
    <row r="66" spans="1:9" ht="27">
      <c r="A66" s="14" t="s">
        <v>188</v>
      </c>
      <c r="B66" s="17">
        <v>951</v>
      </c>
      <c r="C66" s="30" t="s">
        <v>149</v>
      </c>
      <c r="D66" s="30" t="s">
        <v>168</v>
      </c>
      <c r="E66" s="30" t="s">
        <v>812</v>
      </c>
      <c r="F66" s="30" t="s">
        <v>158</v>
      </c>
      <c r="G66" s="74">
        <f t="shared" si="5"/>
        <v>353.579</v>
      </c>
      <c r="H66" s="74"/>
      <c r="I66" s="74">
        <f>I67</f>
        <v>353.579</v>
      </c>
    </row>
    <row r="67" spans="1:9" ht="41.25">
      <c r="A67" s="37" t="s">
        <v>189</v>
      </c>
      <c r="B67" s="17">
        <v>951</v>
      </c>
      <c r="C67" s="30" t="s">
        <v>149</v>
      </c>
      <c r="D67" s="30" t="s">
        <v>168</v>
      </c>
      <c r="E67" s="30" t="s">
        <v>812</v>
      </c>
      <c r="F67" s="30" t="s">
        <v>190</v>
      </c>
      <c r="G67" s="74">
        <f t="shared" si="5"/>
        <v>353.579</v>
      </c>
      <c r="H67" s="74"/>
      <c r="I67" s="74">
        <v>353.579</v>
      </c>
    </row>
    <row r="68" spans="1:9" s="227" customFormat="1" ht="28.5" hidden="1">
      <c r="A68" s="61" t="s">
        <v>758</v>
      </c>
      <c r="B68" s="76">
        <v>951</v>
      </c>
      <c r="C68" s="62" t="s">
        <v>149</v>
      </c>
      <c r="D68" s="62" t="s">
        <v>168</v>
      </c>
      <c r="E68" s="62" t="s">
        <v>760</v>
      </c>
      <c r="F68" s="62" t="s">
        <v>398</v>
      </c>
      <c r="G68" s="77">
        <f t="shared" si="5"/>
        <v>0</v>
      </c>
      <c r="H68" s="175">
        <f>H69</f>
        <v>0</v>
      </c>
      <c r="I68" s="77">
        <f>I69</f>
        <v>0</v>
      </c>
    </row>
    <row r="69" spans="1:9" ht="41.25" hidden="1">
      <c r="A69" s="37" t="s">
        <v>189</v>
      </c>
      <c r="B69" s="17">
        <v>951</v>
      </c>
      <c r="C69" s="30" t="s">
        <v>149</v>
      </c>
      <c r="D69" s="30" t="s">
        <v>168</v>
      </c>
      <c r="E69" s="30" t="s">
        <v>760</v>
      </c>
      <c r="F69" s="30" t="s">
        <v>190</v>
      </c>
      <c r="G69" s="74">
        <f t="shared" si="5"/>
        <v>0</v>
      </c>
      <c r="H69" s="95">
        <v>0</v>
      </c>
      <c r="I69" s="74"/>
    </row>
    <row r="70" spans="1:9" ht="54.75" hidden="1">
      <c r="A70" s="60" t="s">
        <v>420</v>
      </c>
      <c r="B70" s="17">
        <v>951</v>
      </c>
      <c r="C70" s="30" t="s">
        <v>149</v>
      </c>
      <c r="D70" s="30" t="s">
        <v>168</v>
      </c>
      <c r="E70" s="49" t="s">
        <v>34</v>
      </c>
      <c r="F70" s="49" t="s">
        <v>398</v>
      </c>
      <c r="G70" s="83">
        <f aca="true" t="shared" si="6" ref="G70:G76">H70+I70</f>
        <v>0</v>
      </c>
      <c r="H70" s="103">
        <f>H71+H72</f>
        <v>0</v>
      </c>
      <c r="I70" s="103">
        <f>I71+I72</f>
        <v>0</v>
      </c>
    </row>
    <row r="71" spans="1:9" ht="69" hidden="1">
      <c r="A71" s="84" t="s">
        <v>134</v>
      </c>
      <c r="B71" s="17">
        <v>951</v>
      </c>
      <c r="C71" s="30" t="s">
        <v>149</v>
      </c>
      <c r="D71" s="30" t="s">
        <v>168</v>
      </c>
      <c r="E71" s="30" t="s">
        <v>446</v>
      </c>
      <c r="F71" s="30" t="s">
        <v>128</v>
      </c>
      <c r="G71" s="74">
        <f t="shared" si="6"/>
        <v>0</v>
      </c>
      <c r="H71" s="74"/>
      <c r="I71" s="74"/>
    </row>
    <row r="72" spans="1:9" ht="69" hidden="1">
      <c r="A72" s="85" t="s">
        <v>129</v>
      </c>
      <c r="B72" s="17">
        <v>951</v>
      </c>
      <c r="C72" s="30" t="s">
        <v>149</v>
      </c>
      <c r="D72" s="30" t="s">
        <v>168</v>
      </c>
      <c r="E72" s="30" t="s">
        <v>103</v>
      </c>
      <c r="F72" s="30" t="s">
        <v>128</v>
      </c>
      <c r="G72" s="74">
        <f t="shared" si="6"/>
        <v>0</v>
      </c>
      <c r="H72" s="74"/>
      <c r="I72" s="74"/>
    </row>
    <row r="73" spans="1:9" s="92" customFormat="1" ht="54.75" hidden="1">
      <c r="A73" s="45" t="s">
        <v>727</v>
      </c>
      <c r="B73" s="17">
        <v>951</v>
      </c>
      <c r="C73" s="49" t="s">
        <v>149</v>
      </c>
      <c r="D73" s="49" t="s">
        <v>168</v>
      </c>
      <c r="E73" s="49" t="s">
        <v>728</v>
      </c>
      <c r="F73" s="49" t="s">
        <v>398</v>
      </c>
      <c r="G73" s="83">
        <f t="shared" si="6"/>
        <v>0</v>
      </c>
      <c r="H73" s="83"/>
      <c r="I73" s="83">
        <f>I74</f>
        <v>0</v>
      </c>
    </row>
    <row r="74" spans="1:9" ht="82.5" hidden="1">
      <c r="A74" s="14" t="s">
        <v>185</v>
      </c>
      <c r="B74" s="17">
        <v>951</v>
      </c>
      <c r="C74" s="30" t="s">
        <v>149</v>
      </c>
      <c r="D74" s="30" t="s">
        <v>168</v>
      </c>
      <c r="E74" s="30" t="s">
        <v>728</v>
      </c>
      <c r="F74" s="30" t="s">
        <v>154</v>
      </c>
      <c r="G74" s="74">
        <f t="shared" si="6"/>
        <v>0</v>
      </c>
      <c r="H74" s="74"/>
      <c r="I74" s="74">
        <f>I75</f>
        <v>0</v>
      </c>
    </row>
    <row r="75" spans="1:9" ht="27" hidden="1">
      <c r="A75" s="37" t="s">
        <v>187</v>
      </c>
      <c r="B75" s="17">
        <v>951</v>
      </c>
      <c r="C75" s="30" t="s">
        <v>149</v>
      </c>
      <c r="D75" s="30" t="s">
        <v>168</v>
      </c>
      <c r="E75" s="30" t="s">
        <v>728</v>
      </c>
      <c r="F75" s="30" t="s">
        <v>186</v>
      </c>
      <c r="G75" s="74">
        <f t="shared" si="6"/>
        <v>0</v>
      </c>
      <c r="H75" s="74">
        <v>0</v>
      </c>
      <c r="I75" s="74">
        <v>0</v>
      </c>
    </row>
    <row r="76" spans="1:11" ht="28.5">
      <c r="A76" s="64" t="s">
        <v>152</v>
      </c>
      <c r="B76" s="17">
        <v>951</v>
      </c>
      <c r="C76" s="30" t="s">
        <v>149</v>
      </c>
      <c r="D76" s="30" t="s">
        <v>168</v>
      </c>
      <c r="E76" s="30" t="s">
        <v>17</v>
      </c>
      <c r="F76" s="30" t="s">
        <v>398</v>
      </c>
      <c r="G76" s="74">
        <f t="shared" si="6"/>
        <v>5106.905859999999</v>
      </c>
      <c r="H76" s="74">
        <f>H77</f>
        <v>5106.905859999999</v>
      </c>
      <c r="I76" s="74">
        <f>I77</f>
        <v>0</v>
      </c>
      <c r="K76" s="73"/>
    </row>
    <row r="77" spans="1:9" ht="42" customHeight="1">
      <c r="A77" s="14" t="s">
        <v>153</v>
      </c>
      <c r="B77" s="17">
        <v>951</v>
      </c>
      <c r="C77" s="30" t="s">
        <v>149</v>
      </c>
      <c r="D77" s="30" t="s">
        <v>168</v>
      </c>
      <c r="E77" s="30" t="s">
        <v>18</v>
      </c>
      <c r="F77" s="30" t="s">
        <v>398</v>
      </c>
      <c r="G77" s="74">
        <f aca="true" t="shared" si="7" ref="G77:G88">H77+I77</f>
        <v>5106.905859999999</v>
      </c>
      <c r="H77" s="74">
        <f>H78+H83+H110+H113+H116+H119</f>
        <v>5106.905859999999</v>
      </c>
      <c r="I77" s="74">
        <f>I78</f>
        <v>0</v>
      </c>
    </row>
    <row r="78" spans="1:11" ht="45" customHeight="1">
      <c r="A78" s="14" t="s">
        <v>531</v>
      </c>
      <c r="B78" s="17">
        <v>951</v>
      </c>
      <c r="C78" s="30" t="s">
        <v>149</v>
      </c>
      <c r="D78" s="30" t="s">
        <v>168</v>
      </c>
      <c r="E78" s="30" t="s">
        <v>21</v>
      </c>
      <c r="F78" s="30" t="s">
        <v>398</v>
      </c>
      <c r="G78" s="74">
        <f t="shared" si="7"/>
        <v>4802.388999999999</v>
      </c>
      <c r="H78" s="74">
        <f>H79+H81</f>
        <v>4802.388999999999</v>
      </c>
      <c r="I78" s="74">
        <f>I79+I81</f>
        <v>0</v>
      </c>
      <c r="K78" s="73"/>
    </row>
    <row r="79" spans="1:10" ht="81.75" customHeight="1">
      <c r="A79" s="14" t="s">
        <v>185</v>
      </c>
      <c r="B79" s="17">
        <v>951</v>
      </c>
      <c r="C79" s="30" t="s">
        <v>149</v>
      </c>
      <c r="D79" s="30" t="s">
        <v>168</v>
      </c>
      <c r="E79" s="30" t="s">
        <v>21</v>
      </c>
      <c r="F79" s="30" t="s">
        <v>154</v>
      </c>
      <c r="G79" s="74">
        <f t="shared" si="7"/>
        <v>4691.849999999999</v>
      </c>
      <c r="H79" s="74">
        <f>H80</f>
        <v>4691.849999999999</v>
      </c>
      <c r="I79" s="74">
        <f>I80</f>
        <v>0</v>
      </c>
      <c r="J79" s="73"/>
    </row>
    <row r="80" spans="1:9" ht="27">
      <c r="A80" s="37" t="s">
        <v>187</v>
      </c>
      <c r="B80" s="17">
        <v>951</v>
      </c>
      <c r="C80" s="30" t="s">
        <v>149</v>
      </c>
      <c r="D80" s="30" t="s">
        <v>168</v>
      </c>
      <c r="E80" s="30" t="s">
        <v>21</v>
      </c>
      <c r="F80" s="30" t="s">
        <v>186</v>
      </c>
      <c r="G80" s="74">
        <f t="shared" si="7"/>
        <v>4691.849999999999</v>
      </c>
      <c r="H80" s="74">
        <f>4385.9+107+61.3+105.65+32</f>
        <v>4691.849999999999</v>
      </c>
      <c r="I80" s="74"/>
    </row>
    <row r="81" spans="1:9" ht="27">
      <c r="A81" s="14" t="s">
        <v>188</v>
      </c>
      <c r="B81" s="17">
        <v>951</v>
      </c>
      <c r="C81" s="30" t="s">
        <v>149</v>
      </c>
      <c r="D81" s="30" t="s">
        <v>168</v>
      </c>
      <c r="E81" s="30" t="s">
        <v>21</v>
      </c>
      <c r="F81" s="30" t="s">
        <v>158</v>
      </c>
      <c r="G81" s="74">
        <f t="shared" si="7"/>
        <v>110.539</v>
      </c>
      <c r="H81" s="74">
        <f>H82</f>
        <v>110.539</v>
      </c>
      <c r="I81" s="74">
        <f>I82</f>
        <v>0</v>
      </c>
    </row>
    <row r="82" spans="1:9" ht="42.75" customHeight="1">
      <c r="A82" s="37" t="s">
        <v>189</v>
      </c>
      <c r="B82" s="17">
        <v>951</v>
      </c>
      <c r="C82" s="30" t="s">
        <v>149</v>
      </c>
      <c r="D82" s="30" t="s">
        <v>168</v>
      </c>
      <c r="E82" s="30" t="s">
        <v>21</v>
      </c>
      <c r="F82" s="30" t="s">
        <v>190</v>
      </c>
      <c r="G82" s="74">
        <f t="shared" si="7"/>
        <v>110.539</v>
      </c>
      <c r="H82" s="74">
        <v>110.539</v>
      </c>
      <c r="I82" s="74"/>
    </row>
    <row r="83" spans="1:9" ht="13.5">
      <c r="A83" s="45" t="s">
        <v>197</v>
      </c>
      <c r="B83" s="63">
        <v>951</v>
      </c>
      <c r="C83" s="49" t="s">
        <v>149</v>
      </c>
      <c r="D83" s="49" t="s">
        <v>168</v>
      </c>
      <c r="E83" s="49" t="s">
        <v>25</v>
      </c>
      <c r="F83" s="49" t="s">
        <v>398</v>
      </c>
      <c r="G83" s="83">
        <f t="shared" si="7"/>
        <v>50.67678</v>
      </c>
      <c r="H83" s="83">
        <f>H84</f>
        <v>50.67678</v>
      </c>
      <c r="I83" s="83"/>
    </row>
    <row r="84" spans="1:9" ht="13.5">
      <c r="A84" s="14" t="s">
        <v>193</v>
      </c>
      <c r="B84" s="17">
        <v>951</v>
      </c>
      <c r="C84" s="30" t="s">
        <v>149</v>
      </c>
      <c r="D84" s="30" t="s">
        <v>168</v>
      </c>
      <c r="E84" s="30" t="s">
        <v>25</v>
      </c>
      <c r="F84" s="30" t="s">
        <v>194</v>
      </c>
      <c r="G84" s="74">
        <f t="shared" si="7"/>
        <v>50.67678</v>
      </c>
      <c r="H84" s="74">
        <f>H85</f>
        <v>50.67678</v>
      </c>
      <c r="I84" s="74"/>
    </row>
    <row r="85" spans="1:9" ht="13.5">
      <c r="A85" s="14" t="s">
        <v>197</v>
      </c>
      <c r="B85" s="17">
        <v>951</v>
      </c>
      <c r="C85" s="30" t="s">
        <v>149</v>
      </c>
      <c r="D85" s="30" t="s">
        <v>168</v>
      </c>
      <c r="E85" s="30" t="s">
        <v>25</v>
      </c>
      <c r="F85" s="30" t="s">
        <v>198</v>
      </c>
      <c r="G85" s="74">
        <f t="shared" si="7"/>
        <v>50.67678</v>
      </c>
      <c r="H85" s="74">
        <f>10+38.67678+2</f>
        <v>50.67678</v>
      </c>
      <c r="I85" s="74"/>
    </row>
    <row r="86" spans="1:9" ht="41.25">
      <c r="A86" s="45" t="s">
        <v>358</v>
      </c>
      <c r="B86" s="63">
        <v>951</v>
      </c>
      <c r="C86" s="49" t="s">
        <v>149</v>
      </c>
      <c r="D86" s="49" t="s">
        <v>168</v>
      </c>
      <c r="E86" s="49" t="s">
        <v>26</v>
      </c>
      <c r="F86" s="49" t="s">
        <v>398</v>
      </c>
      <c r="G86" s="83">
        <f t="shared" si="7"/>
        <v>586.92</v>
      </c>
      <c r="H86" s="83">
        <f>H87</f>
        <v>586.92</v>
      </c>
      <c r="I86" s="83">
        <f>I87</f>
        <v>0</v>
      </c>
    </row>
    <row r="87" spans="1:9" ht="27">
      <c r="A87" s="14" t="s">
        <v>188</v>
      </c>
      <c r="B87" s="17">
        <v>951</v>
      </c>
      <c r="C87" s="30" t="s">
        <v>149</v>
      </c>
      <c r="D87" s="30" t="s">
        <v>168</v>
      </c>
      <c r="E87" s="30" t="s">
        <v>26</v>
      </c>
      <c r="F87" s="30" t="s">
        <v>158</v>
      </c>
      <c r="G87" s="74">
        <f t="shared" si="7"/>
        <v>586.92</v>
      </c>
      <c r="H87" s="74">
        <f>H88</f>
        <v>586.92</v>
      </c>
      <c r="I87" s="74">
        <f>I88</f>
        <v>0</v>
      </c>
    </row>
    <row r="88" spans="1:9" ht="41.25">
      <c r="A88" s="37" t="s">
        <v>189</v>
      </c>
      <c r="B88" s="17">
        <v>951</v>
      </c>
      <c r="C88" s="30" t="s">
        <v>149</v>
      </c>
      <c r="D88" s="30" t="s">
        <v>168</v>
      </c>
      <c r="E88" s="30" t="s">
        <v>26</v>
      </c>
      <c r="F88" s="30" t="s">
        <v>190</v>
      </c>
      <c r="G88" s="74">
        <f t="shared" si="7"/>
        <v>586.92</v>
      </c>
      <c r="H88" s="109">
        <f>520+240-420+420-173.08</f>
        <v>586.92</v>
      </c>
      <c r="I88" s="74"/>
    </row>
    <row r="89" spans="1:9" ht="13.5">
      <c r="A89" s="46" t="s">
        <v>492</v>
      </c>
      <c r="B89" s="63" t="s">
        <v>177</v>
      </c>
      <c r="C89" s="49" t="s">
        <v>149</v>
      </c>
      <c r="D89" s="49" t="s">
        <v>168</v>
      </c>
      <c r="E89" s="49" t="s">
        <v>493</v>
      </c>
      <c r="F89" s="49" t="s">
        <v>398</v>
      </c>
      <c r="G89" s="83">
        <f aca="true" t="shared" si="8" ref="G89:G98">H89</f>
        <v>715.47983</v>
      </c>
      <c r="H89" s="83">
        <f>H90+H92</f>
        <v>715.47983</v>
      </c>
      <c r="I89" s="83"/>
    </row>
    <row r="90" spans="1:9" ht="27">
      <c r="A90" s="14" t="s">
        <v>188</v>
      </c>
      <c r="B90" s="17" t="s">
        <v>177</v>
      </c>
      <c r="C90" s="30" t="s">
        <v>149</v>
      </c>
      <c r="D90" s="30" t="s">
        <v>168</v>
      </c>
      <c r="E90" s="30" t="s">
        <v>493</v>
      </c>
      <c r="F90" s="30" t="s">
        <v>158</v>
      </c>
      <c r="G90" s="74">
        <f t="shared" si="8"/>
        <v>715.47983</v>
      </c>
      <c r="H90" s="74">
        <f>H91</f>
        <v>715.47983</v>
      </c>
      <c r="I90" s="74"/>
    </row>
    <row r="91" spans="1:9" ht="41.25">
      <c r="A91" s="37" t="s">
        <v>189</v>
      </c>
      <c r="B91" s="17" t="s">
        <v>177</v>
      </c>
      <c r="C91" s="30" t="s">
        <v>149</v>
      </c>
      <c r="D91" s="30" t="s">
        <v>168</v>
      </c>
      <c r="E91" s="30" t="s">
        <v>493</v>
      </c>
      <c r="F91" s="30" t="s">
        <v>190</v>
      </c>
      <c r="G91" s="74">
        <f t="shared" si="8"/>
        <v>715.47983</v>
      </c>
      <c r="H91" s="109">
        <f>878.3-273.3+40.47983+70</f>
        <v>715.47983</v>
      </c>
      <c r="I91" s="74"/>
    </row>
    <row r="92" spans="1:9" ht="13.5" hidden="1">
      <c r="A92" s="14" t="s">
        <v>193</v>
      </c>
      <c r="B92" s="17" t="s">
        <v>177</v>
      </c>
      <c r="C92" s="30" t="s">
        <v>149</v>
      </c>
      <c r="D92" s="30" t="s">
        <v>168</v>
      </c>
      <c r="E92" s="30" t="s">
        <v>493</v>
      </c>
      <c r="F92" s="30" t="s">
        <v>194</v>
      </c>
      <c r="G92" s="74">
        <f t="shared" si="8"/>
        <v>0</v>
      </c>
      <c r="H92" s="74">
        <f>H93</f>
        <v>0</v>
      </c>
      <c r="I92" s="74"/>
    </row>
    <row r="93" spans="1:9" ht="13.5" hidden="1">
      <c r="A93" s="31" t="s">
        <v>191</v>
      </c>
      <c r="B93" s="17" t="s">
        <v>177</v>
      </c>
      <c r="C93" s="30" t="s">
        <v>149</v>
      </c>
      <c r="D93" s="30" t="s">
        <v>168</v>
      </c>
      <c r="E93" s="30" t="s">
        <v>493</v>
      </c>
      <c r="F93" s="30" t="s">
        <v>192</v>
      </c>
      <c r="G93" s="74">
        <f t="shared" si="8"/>
        <v>0</v>
      </c>
      <c r="H93" s="74"/>
      <c r="I93" s="74"/>
    </row>
    <row r="94" spans="1:9" ht="13.5" hidden="1">
      <c r="A94" s="86" t="s">
        <v>519</v>
      </c>
      <c r="B94" s="63" t="s">
        <v>177</v>
      </c>
      <c r="C94" s="49" t="s">
        <v>149</v>
      </c>
      <c r="D94" s="49" t="s">
        <v>168</v>
      </c>
      <c r="E94" s="49" t="s">
        <v>520</v>
      </c>
      <c r="F94" s="49" t="s">
        <v>398</v>
      </c>
      <c r="G94" s="83">
        <f t="shared" si="8"/>
        <v>0</v>
      </c>
      <c r="H94" s="83">
        <f>H95+H97</f>
        <v>0</v>
      </c>
      <c r="I94" s="83"/>
    </row>
    <row r="95" spans="1:9" ht="27" hidden="1">
      <c r="A95" s="14" t="s">
        <v>188</v>
      </c>
      <c r="B95" s="17" t="s">
        <v>177</v>
      </c>
      <c r="C95" s="30" t="s">
        <v>149</v>
      </c>
      <c r="D95" s="30" t="s">
        <v>168</v>
      </c>
      <c r="E95" s="30" t="s">
        <v>520</v>
      </c>
      <c r="F95" s="30" t="s">
        <v>158</v>
      </c>
      <c r="G95" s="74">
        <f t="shared" si="8"/>
        <v>0</v>
      </c>
      <c r="H95" s="74">
        <f>H96</f>
        <v>0</v>
      </c>
      <c r="I95" s="83"/>
    </row>
    <row r="96" spans="1:9" ht="41.25" hidden="1">
      <c r="A96" s="37" t="s">
        <v>189</v>
      </c>
      <c r="B96" s="17" t="s">
        <v>177</v>
      </c>
      <c r="C96" s="30" t="s">
        <v>149</v>
      </c>
      <c r="D96" s="30" t="s">
        <v>168</v>
      </c>
      <c r="E96" s="30" t="s">
        <v>520</v>
      </c>
      <c r="F96" s="30" t="s">
        <v>190</v>
      </c>
      <c r="G96" s="74">
        <f t="shared" si="8"/>
        <v>0</v>
      </c>
      <c r="H96" s="74"/>
      <c r="I96" s="74"/>
    </row>
    <row r="97" spans="1:9" ht="13.5" hidden="1">
      <c r="A97" s="14" t="s">
        <v>193</v>
      </c>
      <c r="B97" s="17" t="s">
        <v>177</v>
      </c>
      <c r="C97" s="30" t="s">
        <v>149</v>
      </c>
      <c r="D97" s="30" t="s">
        <v>168</v>
      </c>
      <c r="E97" s="30" t="s">
        <v>520</v>
      </c>
      <c r="F97" s="30" t="s">
        <v>194</v>
      </c>
      <c r="G97" s="74">
        <f t="shared" si="8"/>
        <v>0</v>
      </c>
      <c r="H97" s="74">
        <f>H98</f>
        <v>0</v>
      </c>
      <c r="I97" s="74"/>
    </row>
    <row r="98" spans="1:9" ht="13.5" hidden="1">
      <c r="A98" s="31" t="s">
        <v>191</v>
      </c>
      <c r="B98" s="17" t="s">
        <v>177</v>
      </c>
      <c r="C98" s="30" t="s">
        <v>149</v>
      </c>
      <c r="D98" s="30" t="s">
        <v>168</v>
      </c>
      <c r="E98" s="30" t="s">
        <v>520</v>
      </c>
      <c r="F98" s="30" t="s">
        <v>192</v>
      </c>
      <c r="G98" s="74">
        <f t="shared" si="8"/>
        <v>0</v>
      </c>
      <c r="H98" s="74"/>
      <c r="I98" s="74"/>
    </row>
    <row r="99" spans="1:9" ht="73.5" customHeight="1">
      <c r="A99" s="61" t="s">
        <v>532</v>
      </c>
      <c r="B99" s="76" t="s">
        <v>177</v>
      </c>
      <c r="C99" s="62" t="s">
        <v>149</v>
      </c>
      <c r="D99" s="62" t="s">
        <v>168</v>
      </c>
      <c r="E99" s="62" t="s">
        <v>311</v>
      </c>
      <c r="F99" s="62" t="s">
        <v>398</v>
      </c>
      <c r="G99" s="77">
        <f>H99+I99</f>
        <v>883.6502500000001</v>
      </c>
      <c r="H99" s="77">
        <v>0</v>
      </c>
      <c r="I99" s="77">
        <f>I100</f>
        <v>883.6502500000001</v>
      </c>
    </row>
    <row r="100" spans="1:9" ht="27">
      <c r="A100" s="14" t="s">
        <v>483</v>
      </c>
      <c r="B100" s="17" t="s">
        <v>177</v>
      </c>
      <c r="C100" s="30" t="s">
        <v>149</v>
      </c>
      <c r="D100" s="30" t="s">
        <v>168</v>
      </c>
      <c r="E100" s="30" t="s">
        <v>17</v>
      </c>
      <c r="F100" s="30" t="s">
        <v>398</v>
      </c>
      <c r="G100" s="74">
        <f aca="true" t="shared" si="9" ref="G100:G112">H100+I100</f>
        <v>883.6502500000001</v>
      </c>
      <c r="H100" s="74"/>
      <c r="I100" s="74">
        <f>I101</f>
        <v>883.6502500000001</v>
      </c>
    </row>
    <row r="101" spans="1:11" ht="41.25">
      <c r="A101" s="14" t="s">
        <v>153</v>
      </c>
      <c r="B101" s="17" t="s">
        <v>177</v>
      </c>
      <c r="C101" s="30" t="s">
        <v>149</v>
      </c>
      <c r="D101" s="30" t="s">
        <v>168</v>
      </c>
      <c r="E101" s="30" t="s">
        <v>18</v>
      </c>
      <c r="F101" s="30" t="s">
        <v>398</v>
      </c>
      <c r="G101" s="74">
        <f t="shared" si="9"/>
        <v>883.6502500000001</v>
      </c>
      <c r="H101" s="74"/>
      <c r="I101" s="74">
        <f>I102+I104</f>
        <v>883.6502500000001</v>
      </c>
      <c r="J101" s="213"/>
      <c r="K101" s="170"/>
    </row>
    <row r="102" spans="1:9" ht="82.5">
      <c r="A102" s="14" t="s">
        <v>185</v>
      </c>
      <c r="B102" s="17" t="s">
        <v>177</v>
      </c>
      <c r="C102" s="30" t="s">
        <v>149</v>
      </c>
      <c r="D102" s="30" t="s">
        <v>168</v>
      </c>
      <c r="E102" s="30" t="s">
        <v>533</v>
      </c>
      <c r="F102" s="30" t="s">
        <v>154</v>
      </c>
      <c r="G102" s="74">
        <f t="shared" si="9"/>
        <v>713.0918300000001</v>
      </c>
      <c r="H102" s="74">
        <v>0</v>
      </c>
      <c r="I102" s="74">
        <f>I103</f>
        <v>713.0918300000001</v>
      </c>
    </row>
    <row r="103" spans="1:11" ht="31.5" customHeight="1">
      <c r="A103" s="14" t="s">
        <v>187</v>
      </c>
      <c r="B103" s="17" t="s">
        <v>177</v>
      </c>
      <c r="C103" s="30" t="s">
        <v>149</v>
      </c>
      <c r="D103" s="30" t="s">
        <v>168</v>
      </c>
      <c r="E103" s="30" t="s">
        <v>533</v>
      </c>
      <c r="F103" s="30" t="s">
        <v>186</v>
      </c>
      <c r="G103" s="74">
        <f t="shared" si="9"/>
        <v>713.0918300000001</v>
      </c>
      <c r="H103" s="74"/>
      <c r="I103" s="74">
        <f>158.91956+571.21939+118+34-18.5975-150.44962</f>
        <v>713.0918300000001</v>
      </c>
      <c r="K103" s="73"/>
    </row>
    <row r="104" spans="1:9" ht="27">
      <c r="A104" s="14" t="s">
        <v>188</v>
      </c>
      <c r="B104" s="17" t="s">
        <v>177</v>
      </c>
      <c r="C104" s="30" t="s">
        <v>149</v>
      </c>
      <c r="D104" s="30" t="s">
        <v>168</v>
      </c>
      <c r="E104" s="30" t="s">
        <v>533</v>
      </c>
      <c r="F104" s="30" t="s">
        <v>158</v>
      </c>
      <c r="G104" s="74">
        <f t="shared" si="9"/>
        <v>170.55842</v>
      </c>
      <c r="H104" s="74">
        <v>0</v>
      </c>
      <c r="I104" s="74">
        <f>I105</f>
        <v>170.55842</v>
      </c>
    </row>
    <row r="105" spans="1:9" ht="42" customHeight="1">
      <c r="A105" s="37" t="s">
        <v>189</v>
      </c>
      <c r="B105" s="17" t="s">
        <v>177</v>
      </c>
      <c r="C105" s="30" t="s">
        <v>149</v>
      </c>
      <c r="D105" s="30" t="s">
        <v>168</v>
      </c>
      <c r="E105" s="30" t="s">
        <v>533</v>
      </c>
      <c r="F105" s="30" t="s">
        <v>190</v>
      </c>
      <c r="G105" s="74">
        <f t="shared" si="9"/>
        <v>170.55842</v>
      </c>
      <c r="H105" s="74"/>
      <c r="I105" s="74">
        <f>20.1088+150.44962</f>
        <v>170.55842</v>
      </c>
    </row>
    <row r="106" spans="1:9" ht="33" customHeight="1" hidden="1">
      <c r="A106" s="14" t="s">
        <v>483</v>
      </c>
      <c r="B106" s="17" t="s">
        <v>177</v>
      </c>
      <c r="C106" s="30" t="s">
        <v>149</v>
      </c>
      <c r="D106" s="30" t="s">
        <v>168</v>
      </c>
      <c r="E106" s="30" t="s">
        <v>17</v>
      </c>
      <c r="F106" s="30" t="s">
        <v>398</v>
      </c>
      <c r="G106" s="74">
        <f t="shared" si="9"/>
        <v>0</v>
      </c>
      <c r="H106" s="74"/>
      <c r="I106" s="74">
        <f>I107</f>
        <v>0</v>
      </c>
    </row>
    <row r="107" spans="1:9" ht="46.5" customHeight="1" hidden="1">
      <c r="A107" s="14" t="s">
        <v>153</v>
      </c>
      <c r="B107" s="17" t="s">
        <v>177</v>
      </c>
      <c r="C107" s="30" t="s">
        <v>149</v>
      </c>
      <c r="D107" s="30" t="s">
        <v>168</v>
      </c>
      <c r="E107" s="30" t="s">
        <v>18</v>
      </c>
      <c r="F107" s="30" t="s">
        <v>398</v>
      </c>
      <c r="G107" s="74">
        <f>H107+I107</f>
        <v>0</v>
      </c>
      <c r="H107" s="74"/>
      <c r="I107" s="74">
        <f>I108</f>
        <v>0</v>
      </c>
    </row>
    <row r="108" spans="1:9" ht="75" customHeight="1" hidden="1">
      <c r="A108" s="14" t="s">
        <v>185</v>
      </c>
      <c r="B108" s="17" t="s">
        <v>177</v>
      </c>
      <c r="C108" s="30" t="s">
        <v>149</v>
      </c>
      <c r="D108" s="30" t="s">
        <v>168</v>
      </c>
      <c r="E108" s="30" t="s">
        <v>879</v>
      </c>
      <c r="F108" s="30" t="s">
        <v>154</v>
      </c>
      <c r="G108" s="74">
        <f t="shared" si="9"/>
        <v>0</v>
      </c>
      <c r="H108" s="74">
        <v>0</v>
      </c>
      <c r="I108" s="74">
        <f>I109</f>
        <v>0</v>
      </c>
    </row>
    <row r="109" spans="1:9" ht="30.75" customHeight="1" hidden="1">
      <c r="A109" s="14" t="s">
        <v>187</v>
      </c>
      <c r="B109" s="17" t="s">
        <v>177</v>
      </c>
      <c r="C109" s="30" t="s">
        <v>149</v>
      </c>
      <c r="D109" s="30" t="s">
        <v>168</v>
      </c>
      <c r="E109" s="30" t="s">
        <v>879</v>
      </c>
      <c r="F109" s="30" t="s">
        <v>186</v>
      </c>
      <c r="G109" s="74">
        <f t="shared" si="9"/>
        <v>0</v>
      </c>
      <c r="H109" s="74"/>
      <c r="I109" s="74">
        <f>389.14971-389.14971</f>
        <v>0</v>
      </c>
    </row>
    <row r="110" spans="1:9" ht="41.25">
      <c r="A110" s="46" t="s">
        <v>702</v>
      </c>
      <c r="B110" s="63" t="s">
        <v>177</v>
      </c>
      <c r="C110" s="49" t="s">
        <v>149</v>
      </c>
      <c r="D110" s="49" t="s">
        <v>168</v>
      </c>
      <c r="E110" s="49" t="s">
        <v>703</v>
      </c>
      <c r="F110" s="49" t="s">
        <v>398</v>
      </c>
      <c r="G110" s="83">
        <f t="shared" si="9"/>
        <v>14.84</v>
      </c>
      <c r="H110" s="83">
        <f>H111</f>
        <v>14.84</v>
      </c>
      <c r="I110" s="74"/>
    </row>
    <row r="111" spans="1:9" ht="27">
      <c r="A111" s="14" t="s">
        <v>188</v>
      </c>
      <c r="B111" s="17" t="s">
        <v>177</v>
      </c>
      <c r="C111" s="30" t="s">
        <v>149</v>
      </c>
      <c r="D111" s="30" t="s">
        <v>168</v>
      </c>
      <c r="E111" s="30" t="s">
        <v>703</v>
      </c>
      <c r="F111" s="30" t="s">
        <v>158</v>
      </c>
      <c r="G111" s="74">
        <f t="shared" si="9"/>
        <v>14.84</v>
      </c>
      <c r="H111" s="74">
        <f>H112</f>
        <v>14.84</v>
      </c>
      <c r="I111" s="74"/>
    </row>
    <row r="112" spans="1:9" ht="41.25">
      <c r="A112" s="37" t="s">
        <v>189</v>
      </c>
      <c r="B112" s="17" t="s">
        <v>177</v>
      </c>
      <c r="C112" s="30" t="s">
        <v>149</v>
      </c>
      <c r="D112" s="30" t="s">
        <v>168</v>
      </c>
      <c r="E112" s="30" t="s">
        <v>703</v>
      </c>
      <c r="F112" s="30" t="s">
        <v>190</v>
      </c>
      <c r="G112" s="74">
        <f t="shared" si="9"/>
        <v>14.84</v>
      </c>
      <c r="H112" s="74">
        <v>14.84</v>
      </c>
      <c r="I112" s="74"/>
    </row>
    <row r="113" spans="1:9" ht="28.5" hidden="1">
      <c r="A113" s="61" t="s">
        <v>823</v>
      </c>
      <c r="B113" s="76" t="s">
        <v>177</v>
      </c>
      <c r="C113" s="62" t="s">
        <v>149</v>
      </c>
      <c r="D113" s="62" t="s">
        <v>168</v>
      </c>
      <c r="E113" s="62" t="s">
        <v>824</v>
      </c>
      <c r="F113" s="62" t="s">
        <v>398</v>
      </c>
      <c r="G113" s="77">
        <f>H113+I113</f>
        <v>0</v>
      </c>
      <c r="H113" s="77">
        <f>H114</f>
        <v>0</v>
      </c>
      <c r="I113" s="77"/>
    </row>
    <row r="114" spans="1:9" ht="30" customHeight="1" hidden="1">
      <c r="A114" s="14" t="s">
        <v>188</v>
      </c>
      <c r="B114" s="17" t="s">
        <v>177</v>
      </c>
      <c r="C114" s="30" t="s">
        <v>149</v>
      </c>
      <c r="D114" s="30" t="s">
        <v>168</v>
      </c>
      <c r="E114" s="30" t="s">
        <v>824</v>
      </c>
      <c r="F114" s="30" t="s">
        <v>158</v>
      </c>
      <c r="G114" s="74">
        <f>H114+I114</f>
        <v>0</v>
      </c>
      <c r="H114" s="74">
        <f>H115</f>
        <v>0</v>
      </c>
      <c r="I114" s="74"/>
    </row>
    <row r="115" spans="1:9" ht="45" customHeight="1" hidden="1">
      <c r="A115" s="37" t="s">
        <v>189</v>
      </c>
      <c r="B115" s="17" t="s">
        <v>177</v>
      </c>
      <c r="C115" s="30" t="s">
        <v>149</v>
      </c>
      <c r="D115" s="30" t="s">
        <v>168</v>
      </c>
      <c r="E115" s="30" t="s">
        <v>824</v>
      </c>
      <c r="F115" s="30" t="s">
        <v>190</v>
      </c>
      <c r="G115" s="74">
        <f>H115+I115</f>
        <v>0</v>
      </c>
      <c r="H115" s="74"/>
      <c r="I115" s="74"/>
    </row>
    <row r="116" spans="1:9" ht="72.75" customHeight="1">
      <c r="A116" s="46" t="s">
        <v>955</v>
      </c>
      <c r="B116" s="17" t="s">
        <v>177</v>
      </c>
      <c r="C116" s="49" t="s">
        <v>149</v>
      </c>
      <c r="D116" s="49" t="s">
        <v>168</v>
      </c>
      <c r="E116" s="49" t="s">
        <v>954</v>
      </c>
      <c r="F116" s="49" t="s">
        <v>398</v>
      </c>
      <c r="G116" s="83">
        <f aca="true" t="shared" si="10" ref="G116:G121">H116+I116</f>
        <v>44.00008</v>
      </c>
      <c r="H116" s="83">
        <f>H117</f>
        <v>44.00008</v>
      </c>
      <c r="I116" s="83"/>
    </row>
    <row r="117" spans="1:9" ht="33" customHeight="1">
      <c r="A117" s="14" t="s">
        <v>188</v>
      </c>
      <c r="B117" s="17" t="s">
        <v>177</v>
      </c>
      <c r="C117" s="30" t="s">
        <v>149</v>
      </c>
      <c r="D117" s="30" t="s">
        <v>168</v>
      </c>
      <c r="E117" s="30" t="s">
        <v>954</v>
      </c>
      <c r="F117" s="30" t="s">
        <v>158</v>
      </c>
      <c r="G117" s="74">
        <f t="shared" si="10"/>
        <v>44.00008</v>
      </c>
      <c r="H117" s="74">
        <f>H118</f>
        <v>44.00008</v>
      </c>
      <c r="I117" s="74"/>
    </row>
    <row r="118" spans="1:9" ht="41.25" customHeight="1">
      <c r="A118" s="37" t="s">
        <v>189</v>
      </c>
      <c r="B118" s="17" t="s">
        <v>177</v>
      </c>
      <c r="C118" s="30" t="s">
        <v>149</v>
      </c>
      <c r="D118" s="30" t="s">
        <v>168</v>
      </c>
      <c r="E118" s="30" t="s">
        <v>954</v>
      </c>
      <c r="F118" s="30" t="s">
        <v>190</v>
      </c>
      <c r="G118" s="74">
        <f t="shared" si="10"/>
        <v>44.00008</v>
      </c>
      <c r="H118" s="74">
        <f>20+42-17.99992</f>
        <v>44.00008</v>
      </c>
      <c r="I118" s="74"/>
    </row>
    <row r="119" spans="1:9" ht="41.25" customHeight="1">
      <c r="A119" s="46" t="s">
        <v>952</v>
      </c>
      <c r="B119" s="17" t="s">
        <v>177</v>
      </c>
      <c r="C119" s="49" t="s">
        <v>149</v>
      </c>
      <c r="D119" s="49" t="s">
        <v>168</v>
      </c>
      <c r="E119" s="49" t="s">
        <v>953</v>
      </c>
      <c r="F119" s="49" t="s">
        <v>398</v>
      </c>
      <c r="G119" s="83">
        <f t="shared" si="10"/>
        <v>195</v>
      </c>
      <c r="H119" s="83">
        <f>H120</f>
        <v>195</v>
      </c>
      <c r="I119" s="83"/>
    </row>
    <row r="120" spans="1:9" ht="30" customHeight="1">
      <c r="A120" s="14" t="s">
        <v>188</v>
      </c>
      <c r="B120" s="17" t="s">
        <v>177</v>
      </c>
      <c r="C120" s="30" t="s">
        <v>149</v>
      </c>
      <c r="D120" s="30" t="s">
        <v>168</v>
      </c>
      <c r="E120" s="30" t="s">
        <v>953</v>
      </c>
      <c r="F120" s="30" t="s">
        <v>158</v>
      </c>
      <c r="G120" s="74">
        <f t="shared" si="10"/>
        <v>195</v>
      </c>
      <c r="H120" s="74">
        <f>H121</f>
        <v>195</v>
      </c>
      <c r="I120" s="74"/>
    </row>
    <row r="121" spans="1:9" ht="42.75" customHeight="1">
      <c r="A121" s="37" t="s">
        <v>189</v>
      </c>
      <c r="B121" s="17" t="s">
        <v>177</v>
      </c>
      <c r="C121" s="30" t="s">
        <v>149</v>
      </c>
      <c r="D121" s="30" t="s">
        <v>168</v>
      </c>
      <c r="E121" s="30" t="s">
        <v>953</v>
      </c>
      <c r="F121" s="30" t="s">
        <v>190</v>
      </c>
      <c r="G121" s="74">
        <f t="shared" si="10"/>
        <v>195</v>
      </c>
      <c r="H121" s="74">
        <f>200-5</f>
        <v>195</v>
      </c>
      <c r="I121" s="74"/>
    </row>
    <row r="122" spans="1:9" ht="41.25">
      <c r="A122" s="45" t="s">
        <v>452</v>
      </c>
      <c r="B122" s="63">
        <v>951</v>
      </c>
      <c r="C122" s="49" t="s">
        <v>149</v>
      </c>
      <c r="D122" s="49" t="s">
        <v>168</v>
      </c>
      <c r="E122" s="49" t="s">
        <v>35</v>
      </c>
      <c r="F122" s="49" t="s">
        <v>398</v>
      </c>
      <c r="G122" s="83">
        <f>H122+I122</f>
        <v>83</v>
      </c>
      <c r="H122" s="83">
        <f>H126+H134+H123+H137</f>
        <v>83</v>
      </c>
      <c r="I122" s="83">
        <f>I126</f>
        <v>0</v>
      </c>
    </row>
    <row r="123" spans="1:9" ht="27" hidden="1">
      <c r="A123" s="70" t="s">
        <v>37</v>
      </c>
      <c r="B123" s="63">
        <v>951</v>
      </c>
      <c r="C123" s="49" t="s">
        <v>149</v>
      </c>
      <c r="D123" s="49" t="s">
        <v>168</v>
      </c>
      <c r="E123" s="17" t="s">
        <v>36</v>
      </c>
      <c r="F123" s="30" t="s">
        <v>398</v>
      </c>
      <c r="G123" s="74">
        <f>H123+I123</f>
        <v>0</v>
      </c>
      <c r="H123" s="74">
        <f>H124</f>
        <v>0</v>
      </c>
      <c r="I123" s="74">
        <f>I124</f>
        <v>0</v>
      </c>
    </row>
    <row r="124" spans="1:9" ht="27" hidden="1">
      <c r="A124" s="14" t="s">
        <v>188</v>
      </c>
      <c r="B124" s="63">
        <v>951</v>
      </c>
      <c r="C124" s="49" t="s">
        <v>149</v>
      </c>
      <c r="D124" s="49" t="s">
        <v>168</v>
      </c>
      <c r="E124" s="17" t="s">
        <v>36</v>
      </c>
      <c r="F124" s="30" t="s">
        <v>158</v>
      </c>
      <c r="G124" s="74">
        <f>H124+I124</f>
        <v>0</v>
      </c>
      <c r="H124" s="74">
        <f>H125</f>
        <v>0</v>
      </c>
      <c r="I124" s="74">
        <f>I125</f>
        <v>0</v>
      </c>
    </row>
    <row r="125" spans="1:9" ht="41.25" hidden="1">
      <c r="A125" s="37" t="s">
        <v>189</v>
      </c>
      <c r="B125" s="63">
        <v>951</v>
      </c>
      <c r="C125" s="49" t="s">
        <v>149</v>
      </c>
      <c r="D125" s="49" t="s">
        <v>168</v>
      </c>
      <c r="E125" s="17" t="s">
        <v>36</v>
      </c>
      <c r="F125" s="30" t="s">
        <v>190</v>
      </c>
      <c r="G125" s="74">
        <f>H125+I125</f>
        <v>0</v>
      </c>
      <c r="H125" s="74"/>
      <c r="I125" s="74"/>
    </row>
    <row r="126" spans="1:9" ht="27" hidden="1">
      <c r="A126" s="114" t="s">
        <v>287</v>
      </c>
      <c r="B126" s="63">
        <v>951</v>
      </c>
      <c r="C126" s="49" t="s">
        <v>149</v>
      </c>
      <c r="D126" s="49" t="s">
        <v>168</v>
      </c>
      <c r="E126" s="17" t="s">
        <v>53</v>
      </c>
      <c r="F126" s="30" t="s">
        <v>398</v>
      </c>
      <c r="G126" s="74">
        <f>G127</f>
        <v>0</v>
      </c>
      <c r="H126" s="74">
        <f>H127</f>
        <v>0</v>
      </c>
      <c r="I126" s="74">
        <f>I127</f>
        <v>0</v>
      </c>
    </row>
    <row r="127" spans="1:9" ht="54.75" hidden="1">
      <c r="A127" s="45" t="s">
        <v>641</v>
      </c>
      <c r="B127" s="63">
        <v>951</v>
      </c>
      <c r="C127" s="49" t="s">
        <v>149</v>
      </c>
      <c r="D127" s="49" t="s">
        <v>168</v>
      </c>
      <c r="E127" s="49" t="s">
        <v>311</v>
      </c>
      <c r="F127" s="49" t="s">
        <v>398</v>
      </c>
      <c r="G127" s="83">
        <f>H127+I127</f>
        <v>0</v>
      </c>
      <c r="H127" s="83">
        <f>H131</f>
        <v>0</v>
      </c>
      <c r="I127" s="83">
        <f>I128</f>
        <v>0</v>
      </c>
    </row>
    <row r="128" spans="1:9" ht="69" hidden="1">
      <c r="A128" s="14" t="s">
        <v>662</v>
      </c>
      <c r="B128" s="17">
        <v>951</v>
      </c>
      <c r="C128" s="30" t="s">
        <v>149</v>
      </c>
      <c r="D128" s="30" t="s">
        <v>168</v>
      </c>
      <c r="E128" s="30" t="s">
        <v>647</v>
      </c>
      <c r="F128" s="30" t="s">
        <v>398</v>
      </c>
      <c r="G128" s="74">
        <f aca="true" t="shared" si="11" ref="G128:G133">H128+I128</f>
        <v>0</v>
      </c>
      <c r="H128" s="74"/>
      <c r="I128" s="74">
        <f>I129</f>
        <v>0</v>
      </c>
    </row>
    <row r="129" spans="1:9" ht="41.25" hidden="1">
      <c r="A129" s="37" t="s">
        <v>571</v>
      </c>
      <c r="B129" s="17">
        <v>951</v>
      </c>
      <c r="C129" s="30" t="s">
        <v>149</v>
      </c>
      <c r="D129" s="30" t="s">
        <v>168</v>
      </c>
      <c r="E129" s="30" t="s">
        <v>647</v>
      </c>
      <c r="F129" s="30" t="s">
        <v>572</v>
      </c>
      <c r="G129" s="74">
        <f t="shared" si="11"/>
        <v>0</v>
      </c>
      <c r="H129" s="74"/>
      <c r="I129" s="74">
        <f>I130</f>
        <v>0</v>
      </c>
    </row>
    <row r="130" spans="1:9" ht="13.5" hidden="1">
      <c r="A130" s="37" t="s">
        <v>573</v>
      </c>
      <c r="B130" s="17">
        <v>951</v>
      </c>
      <c r="C130" s="30" t="s">
        <v>149</v>
      </c>
      <c r="D130" s="30" t="s">
        <v>168</v>
      </c>
      <c r="E130" s="30" t="s">
        <v>647</v>
      </c>
      <c r="F130" s="30" t="s">
        <v>574</v>
      </c>
      <c r="G130" s="74">
        <f t="shared" si="11"/>
        <v>0</v>
      </c>
      <c r="H130" s="74"/>
      <c r="I130" s="74"/>
    </row>
    <row r="131" spans="1:9" ht="82.5" hidden="1">
      <c r="A131" s="14" t="s">
        <v>663</v>
      </c>
      <c r="B131" s="17">
        <v>951</v>
      </c>
      <c r="C131" s="30" t="s">
        <v>149</v>
      </c>
      <c r="D131" s="30" t="s">
        <v>168</v>
      </c>
      <c r="E131" s="30" t="s">
        <v>692</v>
      </c>
      <c r="F131" s="30" t="s">
        <v>398</v>
      </c>
      <c r="G131" s="74">
        <f t="shared" si="11"/>
        <v>0</v>
      </c>
      <c r="H131" s="74">
        <f>H132</f>
        <v>0</v>
      </c>
      <c r="I131" s="74"/>
    </row>
    <row r="132" spans="1:9" ht="41.25" hidden="1">
      <c r="A132" s="37" t="s">
        <v>571</v>
      </c>
      <c r="B132" s="17">
        <v>951</v>
      </c>
      <c r="C132" s="30" t="s">
        <v>149</v>
      </c>
      <c r="D132" s="30" t="s">
        <v>168</v>
      </c>
      <c r="E132" s="30" t="s">
        <v>692</v>
      </c>
      <c r="F132" s="30" t="s">
        <v>572</v>
      </c>
      <c r="G132" s="74">
        <f t="shared" si="11"/>
        <v>0</v>
      </c>
      <c r="H132" s="74">
        <f>H133</f>
        <v>0</v>
      </c>
      <c r="I132" s="74"/>
    </row>
    <row r="133" spans="1:9" ht="13.5" hidden="1">
      <c r="A133" s="37" t="s">
        <v>573</v>
      </c>
      <c r="B133" s="17">
        <v>951</v>
      </c>
      <c r="C133" s="30" t="s">
        <v>149</v>
      </c>
      <c r="D133" s="30" t="s">
        <v>168</v>
      </c>
      <c r="E133" s="30" t="s">
        <v>692</v>
      </c>
      <c r="F133" s="30" t="s">
        <v>574</v>
      </c>
      <c r="G133" s="74">
        <f t="shared" si="11"/>
        <v>0</v>
      </c>
      <c r="H133" s="74"/>
      <c r="I133" s="74"/>
    </row>
    <row r="134" spans="1:9" ht="71.25" customHeight="1" hidden="1">
      <c r="A134" s="45" t="s">
        <v>657</v>
      </c>
      <c r="B134" s="63">
        <v>951</v>
      </c>
      <c r="C134" s="49" t="s">
        <v>149</v>
      </c>
      <c r="D134" s="49" t="s">
        <v>168</v>
      </c>
      <c r="E134" s="49" t="s">
        <v>648</v>
      </c>
      <c r="F134" s="49" t="s">
        <v>398</v>
      </c>
      <c r="G134" s="83">
        <f aca="true" t="shared" si="12" ref="G134:G148">H134+I134</f>
        <v>0</v>
      </c>
      <c r="H134" s="83">
        <f>H135</f>
        <v>0</v>
      </c>
      <c r="I134" s="83"/>
    </row>
    <row r="135" spans="1:9" ht="27" hidden="1">
      <c r="A135" s="14" t="s">
        <v>188</v>
      </c>
      <c r="B135" s="17">
        <v>951</v>
      </c>
      <c r="C135" s="30" t="s">
        <v>149</v>
      </c>
      <c r="D135" s="30" t="s">
        <v>168</v>
      </c>
      <c r="E135" s="30" t="s">
        <v>648</v>
      </c>
      <c r="F135" s="30" t="s">
        <v>158</v>
      </c>
      <c r="G135" s="74">
        <f t="shared" si="12"/>
        <v>0</v>
      </c>
      <c r="H135" s="74">
        <f>H136</f>
        <v>0</v>
      </c>
      <c r="I135" s="74"/>
    </row>
    <row r="136" spans="1:9" ht="41.25" hidden="1">
      <c r="A136" s="37" t="s">
        <v>189</v>
      </c>
      <c r="B136" s="17">
        <v>951</v>
      </c>
      <c r="C136" s="30" t="s">
        <v>149</v>
      </c>
      <c r="D136" s="30" t="s">
        <v>168</v>
      </c>
      <c r="E136" s="30" t="s">
        <v>648</v>
      </c>
      <c r="F136" s="30" t="s">
        <v>190</v>
      </c>
      <c r="G136" s="74">
        <f t="shared" si="12"/>
        <v>0</v>
      </c>
      <c r="H136" s="74">
        <v>0</v>
      </c>
      <c r="I136" s="74"/>
    </row>
    <row r="137" spans="1:9" ht="33" customHeight="1">
      <c r="A137" s="70" t="s">
        <v>40</v>
      </c>
      <c r="B137" s="17">
        <v>951</v>
      </c>
      <c r="C137" s="30" t="s">
        <v>149</v>
      </c>
      <c r="D137" s="30" t="s">
        <v>168</v>
      </c>
      <c r="E137" s="30" t="s">
        <v>41</v>
      </c>
      <c r="F137" s="30" t="s">
        <v>398</v>
      </c>
      <c r="G137" s="74">
        <f t="shared" si="12"/>
        <v>83</v>
      </c>
      <c r="H137" s="74">
        <f>H138</f>
        <v>83</v>
      </c>
      <c r="I137" s="74">
        <f>I138</f>
        <v>0</v>
      </c>
    </row>
    <row r="138" spans="1:9" ht="29.25" customHeight="1">
      <c r="A138" s="14" t="s">
        <v>188</v>
      </c>
      <c r="B138" s="17">
        <v>951</v>
      </c>
      <c r="C138" s="30" t="s">
        <v>149</v>
      </c>
      <c r="D138" s="30" t="s">
        <v>168</v>
      </c>
      <c r="E138" s="30" t="s">
        <v>650</v>
      </c>
      <c r="F138" s="30" t="s">
        <v>158</v>
      </c>
      <c r="G138" s="74">
        <f t="shared" si="12"/>
        <v>83</v>
      </c>
      <c r="H138" s="74">
        <f>H139</f>
        <v>83</v>
      </c>
      <c r="I138" s="74">
        <f>I139</f>
        <v>0</v>
      </c>
    </row>
    <row r="139" spans="1:9" ht="43.5" customHeight="1">
      <c r="A139" s="37" t="s">
        <v>189</v>
      </c>
      <c r="B139" s="17">
        <v>951</v>
      </c>
      <c r="C139" s="30" t="s">
        <v>149</v>
      </c>
      <c r="D139" s="30" t="s">
        <v>168</v>
      </c>
      <c r="E139" s="30" t="s">
        <v>650</v>
      </c>
      <c r="F139" s="30" t="s">
        <v>190</v>
      </c>
      <c r="G139" s="74">
        <f t="shared" si="12"/>
        <v>83</v>
      </c>
      <c r="H139" s="74">
        <v>83</v>
      </c>
      <c r="I139" s="74"/>
    </row>
    <row r="140" spans="1:9" ht="54.75" hidden="1">
      <c r="A140" s="45" t="s">
        <v>467</v>
      </c>
      <c r="B140" s="63">
        <v>951</v>
      </c>
      <c r="C140" s="49" t="s">
        <v>149</v>
      </c>
      <c r="D140" s="49" t="s">
        <v>168</v>
      </c>
      <c r="E140" s="49" t="s">
        <v>42</v>
      </c>
      <c r="F140" s="49" t="s">
        <v>398</v>
      </c>
      <c r="G140" s="83">
        <f t="shared" si="12"/>
        <v>0</v>
      </c>
      <c r="H140" s="83">
        <f>H141</f>
        <v>0</v>
      </c>
      <c r="I140" s="83">
        <f>I141</f>
        <v>0</v>
      </c>
    </row>
    <row r="141" spans="1:9" ht="33.75" customHeight="1" hidden="1">
      <c r="A141" s="14" t="s">
        <v>188</v>
      </c>
      <c r="B141" s="17">
        <v>951</v>
      </c>
      <c r="C141" s="30" t="s">
        <v>149</v>
      </c>
      <c r="D141" s="30" t="s">
        <v>168</v>
      </c>
      <c r="E141" s="30" t="s">
        <v>44</v>
      </c>
      <c r="F141" s="30" t="s">
        <v>158</v>
      </c>
      <c r="G141" s="74">
        <f t="shared" si="12"/>
        <v>0</v>
      </c>
      <c r="H141" s="74">
        <f>H142</f>
        <v>0</v>
      </c>
      <c r="I141" s="74">
        <f>I142</f>
        <v>0</v>
      </c>
    </row>
    <row r="142" spans="1:9" ht="41.25" hidden="1">
      <c r="A142" s="37" t="s">
        <v>189</v>
      </c>
      <c r="B142" s="17">
        <v>951</v>
      </c>
      <c r="C142" s="30" t="s">
        <v>149</v>
      </c>
      <c r="D142" s="30" t="s">
        <v>168</v>
      </c>
      <c r="E142" s="30" t="s">
        <v>44</v>
      </c>
      <c r="F142" s="30" t="s">
        <v>190</v>
      </c>
      <c r="G142" s="74">
        <f t="shared" si="12"/>
        <v>0</v>
      </c>
      <c r="H142" s="74">
        <v>0</v>
      </c>
      <c r="I142" s="74"/>
    </row>
    <row r="143" spans="1:9" ht="41.25">
      <c r="A143" s="46" t="s">
        <v>750</v>
      </c>
      <c r="B143" s="63" t="s">
        <v>177</v>
      </c>
      <c r="C143" s="49" t="s">
        <v>149</v>
      </c>
      <c r="D143" s="49" t="s">
        <v>168</v>
      </c>
      <c r="E143" s="49" t="s">
        <v>534</v>
      </c>
      <c r="F143" s="49" t="s">
        <v>398</v>
      </c>
      <c r="G143" s="83">
        <f t="shared" si="12"/>
        <v>15</v>
      </c>
      <c r="H143" s="83">
        <f>H144</f>
        <v>15</v>
      </c>
      <c r="I143" s="83"/>
    </row>
    <row r="144" spans="1:9" ht="43.5" customHeight="1">
      <c r="A144" s="37" t="s">
        <v>535</v>
      </c>
      <c r="B144" s="63" t="s">
        <v>177</v>
      </c>
      <c r="C144" s="30" t="s">
        <v>149</v>
      </c>
      <c r="D144" s="30" t="s">
        <v>168</v>
      </c>
      <c r="E144" s="30" t="s">
        <v>536</v>
      </c>
      <c r="F144" s="30" t="s">
        <v>158</v>
      </c>
      <c r="G144" s="74">
        <f t="shared" si="12"/>
        <v>15</v>
      </c>
      <c r="H144" s="74">
        <f>H145</f>
        <v>15</v>
      </c>
      <c r="I144" s="74"/>
    </row>
    <row r="145" spans="1:9" ht="16.5" customHeight="1">
      <c r="A145" s="37" t="s">
        <v>589</v>
      </c>
      <c r="B145" s="63" t="s">
        <v>177</v>
      </c>
      <c r="C145" s="30" t="s">
        <v>149</v>
      </c>
      <c r="D145" s="30" t="s">
        <v>168</v>
      </c>
      <c r="E145" s="30" t="s">
        <v>538</v>
      </c>
      <c r="F145" s="30" t="s">
        <v>190</v>
      </c>
      <c r="G145" s="74">
        <f t="shared" si="12"/>
        <v>15</v>
      </c>
      <c r="H145" s="74">
        <v>15</v>
      </c>
      <c r="I145" s="74"/>
    </row>
    <row r="146" spans="1:9" ht="13.5" hidden="1">
      <c r="A146" s="68" t="s">
        <v>360</v>
      </c>
      <c r="B146" s="63" t="s">
        <v>177</v>
      </c>
      <c r="C146" s="30" t="s">
        <v>149</v>
      </c>
      <c r="D146" s="30" t="s">
        <v>168</v>
      </c>
      <c r="E146" s="69" t="s">
        <v>311</v>
      </c>
      <c r="F146" s="69" t="s">
        <v>398</v>
      </c>
      <c r="G146" s="82">
        <f t="shared" si="12"/>
        <v>0</v>
      </c>
      <c r="H146" s="82">
        <f aca="true" t="shared" si="13" ref="H146:I149">H147</f>
        <v>0</v>
      </c>
      <c r="I146" s="82">
        <f t="shared" si="13"/>
        <v>0</v>
      </c>
    </row>
    <row r="147" spans="1:9" ht="69" hidden="1">
      <c r="A147" s="45" t="s">
        <v>521</v>
      </c>
      <c r="B147" s="63" t="s">
        <v>177</v>
      </c>
      <c r="C147" s="30" t="s">
        <v>149</v>
      </c>
      <c r="D147" s="30" t="s">
        <v>168</v>
      </c>
      <c r="E147" s="30" t="s">
        <v>311</v>
      </c>
      <c r="F147" s="30" t="s">
        <v>398</v>
      </c>
      <c r="G147" s="74">
        <f t="shared" si="12"/>
        <v>0</v>
      </c>
      <c r="H147" s="74">
        <f t="shared" si="13"/>
        <v>0</v>
      </c>
      <c r="I147" s="74">
        <f t="shared" si="13"/>
        <v>0</v>
      </c>
    </row>
    <row r="148" spans="1:9" ht="41.25" hidden="1">
      <c r="A148" s="14" t="s">
        <v>361</v>
      </c>
      <c r="B148" s="63" t="s">
        <v>177</v>
      </c>
      <c r="C148" s="30" t="s">
        <v>149</v>
      </c>
      <c r="D148" s="30" t="s">
        <v>168</v>
      </c>
      <c r="E148" s="30" t="s">
        <v>502</v>
      </c>
      <c r="F148" s="30" t="s">
        <v>398</v>
      </c>
      <c r="G148" s="74">
        <f t="shared" si="12"/>
        <v>0</v>
      </c>
      <c r="H148" s="74">
        <f t="shared" si="13"/>
        <v>0</v>
      </c>
      <c r="I148" s="74">
        <f t="shared" si="13"/>
        <v>0</v>
      </c>
    </row>
    <row r="149" spans="1:9" ht="13.5" hidden="1">
      <c r="A149" s="14" t="s">
        <v>199</v>
      </c>
      <c r="B149" s="63" t="s">
        <v>177</v>
      </c>
      <c r="C149" s="30" t="s">
        <v>149</v>
      </c>
      <c r="D149" s="30" t="s">
        <v>168</v>
      </c>
      <c r="E149" s="30" t="s">
        <v>502</v>
      </c>
      <c r="F149" s="30" t="s">
        <v>200</v>
      </c>
      <c r="G149" s="74">
        <f aca="true" t="shared" si="14" ref="G149:G161">H149+I149</f>
        <v>0</v>
      </c>
      <c r="H149" s="74">
        <f t="shared" si="13"/>
        <v>0</v>
      </c>
      <c r="I149" s="74">
        <f t="shared" si="13"/>
        <v>0</v>
      </c>
    </row>
    <row r="150" spans="1:9" ht="13.5" hidden="1">
      <c r="A150" s="14" t="s">
        <v>169</v>
      </c>
      <c r="B150" s="63" t="s">
        <v>177</v>
      </c>
      <c r="C150" s="30" t="s">
        <v>149</v>
      </c>
      <c r="D150" s="30" t="s">
        <v>168</v>
      </c>
      <c r="E150" s="30" t="s">
        <v>502</v>
      </c>
      <c r="F150" s="30" t="s">
        <v>362</v>
      </c>
      <c r="G150" s="74">
        <f t="shared" si="14"/>
        <v>0</v>
      </c>
      <c r="H150" s="74"/>
      <c r="I150" s="74">
        <v>0</v>
      </c>
    </row>
    <row r="151" spans="1:9" ht="59.25" customHeight="1">
      <c r="A151" s="45" t="s">
        <v>983</v>
      </c>
      <c r="B151" s="63" t="s">
        <v>177</v>
      </c>
      <c r="C151" s="49" t="s">
        <v>149</v>
      </c>
      <c r="D151" s="49" t="s">
        <v>168</v>
      </c>
      <c r="E151" s="49" t="s">
        <v>986</v>
      </c>
      <c r="F151" s="49" t="s">
        <v>398</v>
      </c>
      <c r="G151" s="83">
        <f>H151+I151</f>
        <v>5</v>
      </c>
      <c r="H151" s="83">
        <f>H152</f>
        <v>5</v>
      </c>
      <c r="I151" s="83"/>
    </row>
    <row r="152" spans="1:9" ht="34.5" customHeight="1">
      <c r="A152" s="14" t="s">
        <v>188</v>
      </c>
      <c r="B152" s="17" t="s">
        <v>177</v>
      </c>
      <c r="C152" s="30" t="s">
        <v>149</v>
      </c>
      <c r="D152" s="30" t="s">
        <v>168</v>
      </c>
      <c r="E152" s="30" t="s">
        <v>987</v>
      </c>
      <c r="F152" s="30" t="s">
        <v>158</v>
      </c>
      <c r="G152" s="74">
        <f>H152+I152</f>
        <v>5</v>
      </c>
      <c r="H152" s="74">
        <f>H153</f>
        <v>5</v>
      </c>
      <c r="I152" s="74"/>
    </row>
    <row r="153" spans="1:9" ht="42" customHeight="1">
      <c r="A153" s="37" t="s">
        <v>189</v>
      </c>
      <c r="B153" s="17" t="s">
        <v>177</v>
      </c>
      <c r="C153" s="30" t="s">
        <v>149</v>
      </c>
      <c r="D153" s="30" t="s">
        <v>168</v>
      </c>
      <c r="E153" s="30" t="s">
        <v>987</v>
      </c>
      <c r="F153" s="30" t="s">
        <v>190</v>
      </c>
      <c r="G153" s="74">
        <f>H153+I153</f>
        <v>5</v>
      </c>
      <c r="H153" s="74">
        <v>5</v>
      </c>
      <c r="I153" s="74"/>
    </row>
    <row r="154" spans="1:9" ht="41.25">
      <c r="A154" s="68" t="s">
        <v>363</v>
      </c>
      <c r="B154" s="75" t="s">
        <v>177</v>
      </c>
      <c r="C154" s="69" t="s">
        <v>156</v>
      </c>
      <c r="D154" s="69" t="s">
        <v>150</v>
      </c>
      <c r="E154" s="69" t="s">
        <v>311</v>
      </c>
      <c r="F154" s="69" t="s">
        <v>398</v>
      </c>
      <c r="G154" s="82">
        <f t="shared" si="14"/>
        <v>100</v>
      </c>
      <c r="H154" s="82">
        <f aca="true" t="shared" si="15" ref="H154:I157">H155</f>
        <v>100</v>
      </c>
      <c r="I154" s="82">
        <f t="shared" si="15"/>
        <v>0</v>
      </c>
    </row>
    <row r="155" spans="1:9" ht="43.5" customHeight="1">
      <c r="A155" s="14" t="s">
        <v>364</v>
      </c>
      <c r="B155" s="17" t="s">
        <v>177</v>
      </c>
      <c r="C155" s="30" t="s">
        <v>156</v>
      </c>
      <c r="D155" s="30" t="s">
        <v>365</v>
      </c>
      <c r="E155" s="30" t="s">
        <v>27</v>
      </c>
      <c r="F155" s="30" t="s">
        <v>398</v>
      </c>
      <c r="G155" s="74">
        <f t="shared" si="14"/>
        <v>100</v>
      </c>
      <c r="H155" s="74">
        <f>H156</f>
        <v>100</v>
      </c>
      <c r="I155" s="74">
        <f t="shared" si="15"/>
        <v>0</v>
      </c>
    </row>
    <row r="156" spans="1:9" ht="43.5" customHeight="1">
      <c r="A156" s="14" t="s">
        <v>366</v>
      </c>
      <c r="B156" s="17" t="s">
        <v>177</v>
      </c>
      <c r="C156" s="30" t="s">
        <v>156</v>
      </c>
      <c r="D156" s="30" t="s">
        <v>365</v>
      </c>
      <c r="E156" s="30" t="s">
        <v>27</v>
      </c>
      <c r="F156" s="30" t="s">
        <v>398</v>
      </c>
      <c r="G156" s="74">
        <f t="shared" si="14"/>
        <v>100</v>
      </c>
      <c r="H156" s="74">
        <f>H157</f>
        <v>100</v>
      </c>
      <c r="I156" s="74">
        <f t="shared" si="15"/>
        <v>0</v>
      </c>
    </row>
    <row r="157" spans="1:9" ht="31.5" customHeight="1">
      <c r="A157" s="14" t="s">
        <v>188</v>
      </c>
      <c r="B157" s="17" t="s">
        <v>177</v>
      </c>
      <c r="C157" s="30" t="s">
        <v>156</v>
      </c>
      <c r="D157" s="30" t="s">
        <v>365</v>
      </c>
      <c r="E157" s="30" t="s">
        <v>27</v>
      </c>
      <c r="F157" s="30" t="s">
        <v>158</v>
      </c>
      <c r="G157" s="74">
        <f t="shared" si="14"/>
        <v>100</v>
      </c>
      <c r="H157" s="74">
        <f>H158</f>
        <v>100</v>
      </c>
      <c r="I157" s="74">
        <f t="shared" si="15"/>
        <v>0</v>
      </c>
    </row>
    <row r="158" spans="1:9" ht="43.5" customHeight="1">
      <c r="A158" s="37" t="s">
        <v>189</v>
      </c>
      <c r="B158" s="17" t="s">
        <v>177</v>
      </c>
      <c r="C158" s="30" t="s">
        <v>156</v>
      </c>
      <c r="D158" s="30" t="s">
        <v>365</v>
      </c>
      <c r="E158" s="30" t="s">
        <v>27</v>
      </c>
      <c r="F158" s="30" t="s">
        <v>190</v>
      </c>
      <c r="G158" s="74">
        <f t="shared" si="14"/>
        <v>100</v>
      </c>
      <c r="H158" s="74">
        <v>100</v>
      </c>
      <c r="I158" s="74"/>
    </row>
    <row r="159" spans="1:9" ht="84.75" customHeight="1" hidden="1">
      <c r="A159" s="46" t="s">
        <v>714</v>
      </c>
      <c r="B159" s="63" t="s">
        <v>177</v>
      </c>
      <c r="C159" s="30" t="s">
        <v>149</v>
      </c>
      <c r="D159" s="30" t="s">
        <v>168</v>
      </c>
      <c r="E159" s="49" t="s">
        <v>700</v>
      </c>
      <c r="F159" s="30" t="s">
        <v>398</v>
      </c>
      <c r="G159" s="83">
        <f t="shared" si="14"/>
        <v>0</v>
      </c>
      <c r="H159" s="83"/>
      <c r="I159" s="83">
        <f>I160</f>
        <v>0</v>
      </c>
    </row>
    <row r="160" spans="1:9" ht="84.75" customHeight="1" hidden="1">
      <c r="A160" s="14" t="s">
        <v>185</v>
      </c>
      <c r="B160" s="17" t="s">
        <v>177</v>
      </c>
      <c r="C160" s="30" t="s">
        <v>149</v>
      </c>
      <c r="D160" s="30" t="s">
        <v>168</v>
      </c>
      <c r="E160" s="30" t="s">
        <v>700</v>
      </c>
      <c r="F160" s="30" t="s">
        <v>154</v>
      </c>
      <c r="G160" s="74">
        <f t="shared" si="14"/>
        <v>0</v>
      </c>
      <c r="H160" s="74"/>
      <c r="I160" s="74">
        <f>I161</f>
        <v>0</v>
      </c>
    </row>
    <row r="161" spans="1:9" ht="30.75" customHeight="1" hidden="1">
      <c r="A161" s="37" t="s">
        <v>187</v>
      </c>
      <c r="B161" s="17" t="s">
        <v>177</v>
      </c>
      <c r="C161" s="30" t="s">
        <v>149</v>
      </c>
      <c r="D161" s="30" t="s">
        <v>168</v>
      </c>
      <c r="E161" s="30" t="s">
        <v>700</v>
      </c>
      <c r="F161" s="30" t="s">
        <v>186</v>
      </c>
      <c r="G161" s="74">
        <f t="shared" si="14"/>
        <v>0</v>
      </c>
      <c r="H161" s="74"/>
      <c r="I161" s="74">
        <v>0</v>
      </c>
    </row>
    <row r="162" spans="1:9" ht="70.5" customHeight="1" hidden="1">
      <c r="A162" s="46" t="s">
        <v>715</v>
      </c>
      <c r="B162" s="63" t="s">
        <v>177</v>
      </c>
      <c r="C162" s="49" t="s">
        <v>149</v>
      </c>
      <c r="D162" s="49" t="s">
        <v>168</v>
      </c>
      <c r="E162" s="49" t="s">
        <v>701</v>
      </c>
      <c r="F162" s="49" t="s">
        <v>398</v>
      </c>
      <c r="G162" s="83">
        <f>H162</f>
        <v>0</v>
      </c>
      <c r="H162" s="83">
        <f>H163+H165</f>
        <v>0</v>
      </c>
      <c r="I162" s="83"/>
    </row>
    <row r="163" spans="1:9" ht="81.75" customHeight="1" hidden="1">
      <c r="A163" s="14" t="s">
        <v>185</v>
      </c>
      <c r="B163" s="17" t="s">
        <v>177</v>
      </c>
      <c r="C163" s="30" t="s">
        <v>149</v>
      </c>
      <c r="D163" s="30" t="s">
        <v>168</v>
      </c>
      <c r="E163" s="30" t="s">
        <v>701</v>
      </c>
      <c r="F163" s="30" t="s">
        <v>154</v>
      </c>
      <c r="G163" s="74">
        <f>H163</f>
        <v>0</v>
      </c>
      <c r="H163" s="74">
        <f>H164</f>
        <v>0</v>
      </c>
      <c r="I163" s="74"/>
    </row>
    <row r="164" spans="1:9" ht="30" customHeight="1" hidden="1">
      <c r="A164" s="37" t="s">
        <v>187</v>
      </c>
      <c r="B164" s="17" t="s">
        <v>177</v>
      </c>
      <c r="C164" s="30" t="s">
        <v>149</v>
      </c>
      <c r="D164" s="30" t="s">
        <v>168</v>
      </c>
      <c r="E164" s="30" t="s">
        <v>701</v>
      </c>
      <c r="F164" s="30" t="s">
        <v>186</v>
      </c>
      <c r="G164" s="74">
        <f>H164</f>
        <v>0</v>
      </c>
      <c r="H164" s="74">
        <v>0</v>
      </c>
      <c r="I164" s="74"/>
    </row>
    <row r="165" spans="1:9" ht="30.75" customHeight="1" hidden="1">
      <c r="A165" s="14" t="s">
        <v>188</v>
      </c>
      <c r="B165" s="17" t="s">
        <v>177</v>
      </c>
      <c r="C165" s="30" t="s">
        <v>149</v>
      </c>
      <c r="D165" s="30" t="s">
        <v>168</v>
      </c>
      <c r="E165" s="30" t="s">
        <v>701</v>
      </c>
      <c r="F165" s="30" t="s">
        <v>158</v>
      </c>
      <c r="G165" s="74">
        <f>H165</f>
        <v>0</v>
      </c>
      <c r="H165" s="74">
        <f>H166</f>
        <v>0</v>
      </c>
      <c r="I165" s="74"/>
    </row>
    <row r="166" spans="1:9" ht="42" customHeight="1" hidden="1">
      <c r="A166" s="37" t="s">
        <v>189</v>
      </c>
      <c r="B166" s="17" t="s">
        <v>177</v>
      </c>
      <c r="C166" s="30" t="s">
        <v>149</v>
      </c>
      <c r="D166" s="30" t="s">
        <v>168</v>
      </c>
      <c r="E166" s="30" t="s">
        <v>701</v>
      </c>
      <c r="F166" s="30" t="s">
        <v>190</v>
      </c>
      <c r="G166" s="74">
        <f>H166</f>
        <v>0</v>
      </c>
      <c r="H166" s="74">
        <v>0</v>
      </c>
      <c r="I166" s="74"/>
    </row>
    <row r="167" spans="1:9" ht="82.5" customHeight="1" hidden="1">
      <c r="A167" s="46" t="s">
        <v>716</v>
      </c>
      <c r="B167" s="63" t="s">
        <v>177</v>
      </c>
      <c r="C167" s="49" t="s">
        <v>149</v>
      </c>
      <c r="D167" s="49" t="s">
        <v>168</v>
      </c>
      <c r="E167" s="49" t="s">
        <v>717</v>
      </c>
      <c r="F167" s="49" t="s">
        <v>398</v>
      </c>
      <c r="G167" s="83">
        <f aca="true" t="shared" si="16" ref="G167:G174">H167+I167</f>
        <v>0</v>
      </c>
      <c r="H167" s="83"/>
      <c r="I167" s="83">
        <f>I168</f>
        <v>0</v>
      </c>
    </row>
    <row r="168" spans="1:9" ht="33" customHeight="1" hidden="1">
      <c r="A168" s="14" t="s">
        <v>188</v>
      </c>
      <c r="B168" s="17" t="s">
        <v>177</v>
      </c>
      <c r="C168" s="30" t="s">
        <v>149</v>
      </c>
      <c r="D168" s="30" t="s">
        <v>168</v>
      </c>
      <c r="E168" s="30" t="s">
        <v>717</v>
      </c>
      <c r="F168" s="30" t="s">
        <v>158</v>
      </c>
      <c r="G168" s="74">
        <f t="shared" si="16"/>
        <v>0</v>
      </c>
      <c r="H168" s="74"/>
      <c r="I168" s="74">
        <f>I169</f>
        <v>0</v>
      </c>
    </row>
    <row r="169" spans="1:9" ht="41.25" customHeight="1" hidden="1">
      <c r="A169" s="37" t="s">
        <v>189</v>
      </c>
      <c r="B169" s="17" t="s">
        <v>177</v>
      </c>
      <c r="C169" s="30" t="s">
        <v>149</v>
      </c>
      <c r="D169" s="30" t="s">
        <v>168</v>
      </c>
      <c r="E169" s="30" t="s">
        <v>717</v>
      </c>
      <c r="F169" s="30" t="s">
        <v>190</v>
      </c>
      <c r="G169" s="74">
        <f t="shared" si="16"/>
        <v>0</v>
      </c>
      <c r="H169" s="74"/>
      <c r="I169" s="74">
        <v>0</v>
      </c>
    </row>
    <row r="170" spans="1:9" ht="42" customHeight="1" hidden="1">
      <c r="A170" s="68" t="s">
        <v>363</v>
      </c>
      <c r="B170" s="150">
        <v>951</v>
      </c>
      <c r="C170" s="69" t="s">
        <v>156</v>
      </c>
      <c r="D170" s="69" t="s">
        <v>150</v>
      </c>
      <c r="E170" s="69" t="s">
        <v>311</v>
      </c>
      <c r="F170" s="69" t="s">
        <v>398</v>
      </c>
      <c r="G170" s="107">
        <f t="shared" si="16"/>
        <v>0</v>
      </c>
      <c r="H170" s="82">
        <f aca="true" t="shared" si="17" ref="H170:I173">H171</f>
        <v>0</v>
      </c>
      <c r="I170" s="82">
        <f t="shared" si="17"/>
        <v>0</v>
      </c>
    </row>
    <row r="171" spans="1:9" ht="43.5" customHeight="1" hidden="1">
      <c r="A171" s="14" t="s">
        <v>364</v>
      </c>
      <c r="B171" s="66">
        <v>951</v>
      </c>
      <c r="C171" s="30" t="s">
        <v>156</v>
      </c>
      <c r="D171" s="30" t="s">
        <v>365</v>
      </c>
      <c r="E171" s="30" t="s">
        <v>311</v>
      </c>
      <c r="F171" s="30" t="s">
        <v>398</v>
      </c>
      <c r="G171" s="74">
        <f t="shared" si="16"/>
        <v>0</v>
      </c>
      <c r="H171" s="95">
        <f>H172</f>
        <v>0</v>
      </c>
      <c r="I171" s="95">
        <f t="shared" si="17"/>
        <v>0</v>
      </c>
    </row>
    <row r="172" spans="1:9" ht="58.5" customHeight="1" hidden="1">
      <c r="A172" s="14" t="s">
        <v>725</v>
      </c>
      <c r="B172" s="66">
        <v>951</v>
      </c>
      <c r="C172" s="30" t="s">
        <v>156</v>
      </c>
      <c r="D172" s="30" t="s">
        <v>365</v>
      </c>
      <c r="E172" s="30" t="s">
        <v>726</v>
      </c>
      <c r="F172" s="30" t="s">
        <v>398</v>
      </c>
      <c r="G172" s="74">
        <f t="shared" si="16"/>
        <v>0</v>
      </c>
      <c r="H172" s="95">
        <f>H173</f>
        <v>0</v>
      </c>
      <c r="I172" s="95">
        <f t="shared" si="17"/>
        <v>0</v>
      </c>
    </row>
    <row r="173" spans="1:9" ht="34.5" customHeight="1" hidden="1">
      <c r="A173" s="14" t="s">
        <v>188</v>
      </c>
      <c r="B173" s="66">
        <v>951</v>
      </c>
      <c r="C173" s="30" t="s">
        <v>156</v>
      </c>
      <c r="D173" s="30" t="s">
        <v>365</v>
      </c>
      <c r="E173" s="30" t="s">
        <v>726</v>
      </c>
      <c r="F173" s="30" t="s">
        <v>158</v>
      </c>
      <c r="G173" s="74">
        <f t="shared" si="16"/>
        <v>0</v>
      </c>
      <c r="H173" s="95">
        <f>H174</f>
        <v>0</v>
      </c>
      <c r="I173" s="95">
        <f t="shared" si="17"/>
        <v>0</v>
      </c>
    </row>
    <row r="174" spans="1:9" ht="43.5" customHeight="1" hidden="1">
      <c r="A174" s="37" t="s">
        <v>189</v>
      </c>
      <c r="B174" s="66">
        <v>951</v>
      </c>
      <c r="C174" s="30" t="s">
        <v>156</v>
      </c>
      <c r="D174" s="30" t="s">
        <v>365</v>
      </c>
      <c r="E174" s="30" t="s">
        <v>726</v>
      </c>
      <c r="F174" s="30" t="s">
        <v>190</v>
      </c>
      <c r="G174" s="74">
        <f t="shared" si="16"/>
        <v>0</v>
      </c>
      <c r="H174" s="95">
        <v>0</v>
      </c>
      <c r="I174" s="95"/>
    </row>
    <row r="175" spans="1:9" ht="13.5">
      <c r="A175" s="91" t="s">
        <v>367</v>
      </c>
      <c r="B175" s="150">
        <v>951</v>
      </c>
      <c r="C175" s="69" t="s">
        <v>160</v>
      </c>
      <c r="D175" s="69" t="s">
        <v>150</v>
      </c>
      <c r="E175" s="69" t="s">
        <v>311</v>
      </c>
      <c r="F175" s="69" t="s">
        <v>398</v>
      </c>
      <c r="G175" s="107">
        <f>I175+H175</f>
        <v>45108.5744</v>
      </c>
      <c r="H175" s="82">
        <f>H183+H196+H217+H176</f>
        <v>24160.654249999996</v>
      </c>
      <c r="I175" s="82">
        <f>I183+I196+I217+I176+I222</f>
        <v>20947.92015</v>
      </c>
    </row>
    <row r="176" spans="1:9" ht="13.5">
      <c r="A176" s="14" t="s">
        <v>234</v>
      </c>
      <c r="B176" s="17" t="s">
        <v>177</v>
      </c>
      <c r="C176" s="30" t="s">
        <v>160</v>
      </c>
      <c r="D176" s="30" t="s">
        <v>377</v>
      </c>
      <c r="E176" s="30" t="s">
        <v>311</v>
      </c>
      <c r="F176" s="30" t="s">
        <v>398</v>
      </c>
      <c r="G176" s="74">
        <f aca="true" t="shared" si="18" ref="G176:G190">H176+I176</f>
        <v>1064.53307</v>
      </c>
      <c r="H176" s="74">
        <f>H177+H180</f>
        <v>120</v>
      </c>
      <c r="I176" s="74">
        <f>I177</f>
        <v>944.53307</v>
      </c>
    </row>
    <row r="177" spans="1:9" ht="82.5">
      <c r="A177" s="14" t="s">
        <v>673</v>
      </c>
      <c r="B177" s="17" t="s">
        <v>177</v>
      </c>
      <c r="C177" s="30" t="s">
        <v>160</v>
      </c>
      <c r="D177" s="30" t="s">
        <v>377</v>
      </c>
      <c r="E177" s="30" t="s">
        <v>46</v>
      </c>
      <c r="F177" s="30" t="s">
        <v>398</v>
      </c>
      <c r="G177" s="74">
        <f t="shared" si="18"/>
        <v>944.53307</v>
      </c>
      <c r="H177" s="74"/>
      <c r="I177" s="74">
        <f>I178</f>
        <v>944.53307</v>
      </c>
    </row>
    <row r="178" spans="1:9" ht="30" customHeight="1">
      <c r="A178" s="14" t="s">
        <v>188</v>
      </c>
      <c r="B178" s="17" t="s">
        <v>177</v>
      </c>
      <c r="C178" s="30" t="s">
        <v>160</v>
      </c>
      <c r="D178" s="30" t="s">
        <v>377</v>
      </c>
      <c r="E178" s="30" t="s">
        <v>46</v>
      </c>
      <c r="F178" s="30" t="s">
        <v>158</v>
      </c>
      <c r="G178" s="74">
        <f t="shared" si="18"/>
        <v>944.53307</v>
      </c>
      <c r="H178" s="74"/>
      <c r="I178" s="74">
        <f>I179</f>
        <v>944.53307</v>
      </c>
    </row>
    <row r="179" spans="1:11" ht="45" customHeight="1">
      <c r="A179" s="37" t="s">
        <v>189</v>
      </c>
      <c r="B179" s="17" t="s">
        <v>177</v>
      </c>
      <c r="C179" s="30" t="s">
        <v>160</v>
      </c>
      <c r="D179" s="30" t="s">
        <v>377</v>
      </c>
      <c r="E179" s="30" t="s">
        <v>46</v>
      </c>
      <c r="F179" s="30" t="s">
        <v>190</v>
      </c>
      <c r="G179" s="74">
        <f t="shared" si="18"/>
        <v>944.53307</v>
      </c>
      <c r="H179" s="74"/>
      <c r="I179" s="74">
        <f>265.91093+678.62214</f>
        <v>944.53307</v>
      </c>
      <c r="K179" s="73"/>
    </row>
    <row r="180" spans="1:11" ht="73.5" customHeight="1">
      <c r="A180" s="46" t="s">
        <v>928</v>
      </c>
      <c r="B180" s="63" t="s">
        <v>177</v>
      </c>
      <c r="C180" s="49" t="s">
        <v>160</v>
      </c>
      <c r="D180" s="49" t="s">
        <v>377</v>
      </c>
      <c r="E180" s="49" t="s">
        <v>929</v>
      </c>
      <c r="F180" s="49" t="s">
        <v>398</v>
      </c>
      <c r="G180" s="83">
        <f>H180+I180</f>
        <v>120</v>
      </c>
      <c r="H180" s="83">
        <f>H181</f>
        <v>120</v>
      </c>
      <c r="I180" s="83"/>
      <c r="K180" s="73"/>
    </row>
    <row r="181" spans="1:11" ht="34.5" customHeight="1">
      <c r="A181" s="14" t="s">
        <v>188</v>
      </c>
      <c r="B181" s="17" t="s">
        <v>177</v>
      </c>
      <c r="C181" s="30" t="s">
        <v>160</v>
      </c>
      <c r="D181" s="30" t="s">
        <v>377</v>
      </c>
      <c r="E181" s="30" t="s">
        <v>929</v>
      </c>
      <c r="F181" s="30" t="s">
        <v>158</v>
      </c>
      <c r="G181" s="74">
        <f>H181+I181</f>
        <v>120</v>
      </c>
      <c r="H181" s="74">
        <f>H182</f>
        <v>120</v>
      </c>
      <c r="I181" s="74"/>
      <c r="K181" s="73"/>
    </row>
    <row r="182" spans="1:11" ht="43.5" customHeight="1">
      <c r="A182" s="37" t="s">
        <v>189</v>
      </c>
      <c r="B182" s="17" t="s">
        <v>177</v>
      </c>
      <c r="C182" s="30" t="s">
        <v>160</v>
      </c>
      <c r="D182" s="30" t="s">
        <v>377</v>
      </c>
      <c r="E182" s="30" t="s">
        <v>929</v>
      </c>
      <c r="F182" s="30" t="s">
        <v>190</v>
      </c>
      <c r="G182" s="74">
        <f>H182+I182</f>
        <v>120</v>
      </c>
      <c r="H182" s="74">
        <v>120</v>
      </c>
      <c r="I182" s="74"/>
      <c r="K182" s="73"/>
    </row>
    <row r="183" spans="1:9" ht="13.5">
      <c r="A183" s="14" t="s">
        <v>405</v>
      </c>
      <c r="B183" s="17">
        <v>951</v>
      </c>
      <c r="C183" s="30" t="s">
        <v>160</v>
      </c>
      <c r="D183" s="30" t="s">
        <v>368</v>
      </c>
      <c r="E183" s="30" t="s">
        <v>311</v>
      </c>
      <c r="F183" s="30" t="s">
        <v>398</v>
      </c>
      <c r="G183" s="74">
        <f t="shared" si="18"/>
        <v>1223.77208</v>
      </c>
      <c r="H183" s="74">
        <f>H184</f>
        <v>1220.385</v>
      </c>
      <c r="I183" s="74">
        <f>I185+I193</f>
        <v>3.38708</v>
      </c>
    </row>
    <row r="184" spans="1:9" ht="87.75" customHeight="1">
      <c r="A184" s="45" t="s">
        <v>470</v>
      </c>
      <c r="B184" s="63" t="s">
        <v>177</v>
      </c>
      <c r="C184" s="49" t="s">
        <v>160</v>
      </c>
      <c r="D184" s="49" t="s">
        <v>368</v>
      </c>
      <c r="E184" s="49" t="s">
        <v>311</v>
      </c>
      <c r="F184" s="49" t="s">
        <v>398</v>
      </c>
      <c r="G184" s="83">
        <f t="shared" si="18"/>
        <v>1220.385</v>
      </c>
      <c r="H184" s="83">
        <f>H185+H189</f>
        <v>1220.385</v>
      </c>
      <c r="I184" s="83">
        <f>I185+I189</f>
        <v>0</v>
      </c>
    </row>
    <row r="185" spans="1:11" ht="13.5">
      <c r="A185" s="14" t="s">
        <v>406</v>
      </c>
      <c r="B185" s="17">
        <v>951</v>
      </c>
      <c r="C185" s="30" t="s">
        <v>160</v>
      </c>
      <c r="D185" s="30" t="s">
        <v>368</v>
      </c>
      <c r="E185" s="30" t="s">
        <v>471</v>
      </c>
      <c r="F185" s="30" t="s">
        <v>398</v>
      </c>
      <c r="G185" s="74">
        <f t="shared" si="18"/>
        <v>1220.385</v>
      </c>
      <c r="H185" s="74">
        <f>H186+H191</f>
        <v>1220.385</v>
      </c>
      <c r="I185" s="74">
        <f aca="true" t="shared" si="19" ref="H185:I187">I186</f>
        <v>0</v>
      </c>
      <c r="K185" s="73"/>
    </row>
    <row r="186" spans="1:9" ht="30.75" customHeight="1">
      <c r="A186" s="14" t="s">
        <v>407</v>
      </c>
      <c r="B186" s="17">
        <v>951</v>
      </c>
      <c r="C186" s="30" t="s">
        <v>160</v>
      </c>
      <c r="D186" s="30" t="s">
        <v>368</v>
      </c>
      <c r="E186" s="30" t="s">
        <v>471</v>
      </c>
      <c r="F186" s="30" t="s">
        <v>398</v>
      </c>
      <c r="G186" s="74">
        <f t="shared" si="18"/>
        <v>1215.385</v>
      </c>
      <c r="H186" s="74">
        <f t="shared" si="19"/>
        <v>1215.385</v>
      </c>
      <c r="I186" s="74">
        <f t="shared" si="19"/>
        <v>0</v>
      </c>
    </row>
    <row r="187" spans="1:9" ht="13.5">
      <c r="A187" s="14" t="s">
        <v>193</v>
      </c>
      <c r="B187" s="17">
        <v>951</v>
      </c>
      <c r="C187" s="30" t="s">
        <v>160</v>
      </c>
      <c r="D187" s="30" t="s">
        <v>368</v>
      </c>
      <c r="E187" s="30" t="s">
        <v>471</v>
      </c>
      <c r="F187" s="30" t="s">
        <v>194</v>
      </c>
      <c r="G187" s="74">
        <f t="shared" si="18"/>
        <v>1215.385</v>
      </c>
      <c r="H187" s="74">
        <f t="shared" si="19"/>
        <v>1215.385</v>
      </c>
      <c r="I187" s="74">
        <f t="shared" si="19"/>
        <v>0</v>
      </c>
    </row>
    <row r="188" spans="1:9" ht="48.75" customHeight="1">
      <c r="A188" s="14" t="s">
        <v>668</v>
      </c>
      <c r="B188" s="17">
        <v>951</v>
      </c>
      <c r="C188" s="30" t="s">
        <v>160</v>
      </c>
      <c r="D188" s="30" t="s">
        <v>368</v>
      </c>
      <c r="E188" s="30" t="s">
        <v>471</v>
      </c>
      <c r="F188" s="30" t="s">
        <v>375</v>
      </c>
      <c r="G188" s="74">
        <f t="shared" si="18"/>
        <v>1215.385</v>
      </c>
      <c r="H188" s="74">
        <f>2300+420-5-1499.615</f>
        <v>1215.385</v>
      </c>
      <c r="I188" s="74">
        <v>0</v>
      </c>
    </row>
    <row r="189" spans="1:9" ht="17.25" customHeight="1" hidden="1">
      <c r="A189" s="37" t="s">
        <v>199</v>
      </c>
      <c r="B189" s="17">
        <v>951</v>
      </c>
      <c r="C189" s="30" t="s">
        <v>160</v>
      </c>
      <c r="D189" s="30" t="s">
        <v>368</v>
      </c>
      <c r="E189" s="30" t="s">
        <v>639</v>
      </c>
      <c r="F189" s="30" t="s">
        <v>200</v>
      </c>
      <c r="G189" s="74">
        <f t="shared" si="18"/>
        <v>0</v>
      </c>
      <c r="H189" s="74">
        <f>H190</f>
        <v>0</v>
      </c>
      <c r="I189" s="74"/>
    </row>
    <row r="190" spans="1:9" ht="18.75" customHeight="1" hidden="1">
      <c r="A190" s="37" t="s">
        <v>294</v>
      </c>
      <c r="B190" s="17">
        <v>951</v>
      </c>
      <c r="C190" s="30" t="s">
        <v>160</v>
      </c>
      <c r="D190" s="30" t="s">
        <v>368</v>
      </c>
      <c r="E190" s="30" t="s">
        <v>639</v>
      </c>
      <c r="F190" s="30" t="s">
        <v>440</v>
      </c>
      <c r="G190" s="74">
        <f t="shared" si="18"/>
        <v>0</v>
      </c>
      <c r="H190" s="74">
        <v>0</v>
      </c>
      <c r="I190" s="74"/>
    </row>
    <row r="191" spans="1:9" ht="32.25" customHeight="1">
      <c r="A191" s="14" t="s">
        <v>188</v>
      </c>
      <c r="B191" s="17">
        <v>951</v>
      </c>
      <c r="C191" s="30" t="s">
        <v>160</v>
      </c>
      <c r="D191" s="30" t="s">
        <v>368</v>
      </c>
      <c r="E191" s="30" t="s">
        <v>471</v>
      </c>
      <c r="F191" s="30" t="s">
        <v>158</v>
      </c>
      <c r="G191" s="74">
        <f>H191</f>
        <v>5</v>
      </c>
      <c r="H191" s="74">
        <f>H192</f>
        <v>5</v>
      </c>
      <c r="I191" s="74">
        <f>I192</f>
        <v>0</v>
      </c>
    </row>
    <row r="192" spans="1:9" ht="42.75" customHeight="1">
      <c r="A192" s="37" t="s">
        <v>189</v>
      </c>
      <c r="B192" s="17">
        <v>951</v>
      </c>
      <c r="C192" s="30" t="s">
        <v>160</v>
      </c>
      <c r="D192" s="30" t="s">
        <v>368</v>
      </c>
      <c r="E192" s="30" t="s">
        <v>471</v>
      </c>
      <c r="F192" s="30" t="s">
        <v>190</v>
      </c>
      <c r="G192" s="74">
        <f>H192</f>
        <v>5</v>
      </c>
      <c r="H192" s="74">
        <f>5</f>
        <v>5</v>
      </c>
      <c r="I192" s="74">
        <v>0</v>
      </c>
    </row>
    <row r="193" spans="1:9" ht="126" customHeight="1">
      <c r="A193" s="46" t="s">
        <v>539</v>
      </c>
      <c r="B193" s="63" t="s">
        <v>177</v>
      </c>
      <c r="C193" s="49" t="s">
        <v>160</v>
      </c>
      <c r="D193" s="49" t="s">
        <v>368</v>
      </c>
      <c r="E193" s="49" t="s">
        <v>311</v>
      </c>
      <c r="F193" s="49" t="s">
        <v>398</v>
      </c>
      <c r="G193" s="83">
        <f aca="true" t="shared" si="20" ref="G193:G202">H193+I193</f>
        <v>3.38708</v>
      </c>
      <c r="H193" s="83">
        <v>0</v>
      </c>
      <c r="I193" s="83">
        <f>I194</f>
        <v>3.38708</v>
      </c>
    </row>
    <row r="194" spans="1:9" ht="33" customHeight="1">
      <c r="A194" s="14" t="s">
        <v>188</v>
      </c>
      <c r="B194" s="17" t="s">
        <v>177</v>
      </c>
      <c r="C194" s="30" t="s">
        <v>160</v>
      </c>
      <c r="D194" s="30" t="s">
        <v>368</v>
      </c>
      <c r="E194" s="30" t="s">
        <v>540</v>
      </c>
      <c r="F194" s="30" t="s">
        <v>158</v>
      </c>
      <c r="G194" s="74">
        <f t="shared" si="20"/>
        <v>3.38708</v>
      </c>
      <c r="H194" s="74">
        <v>0</v>
      </c>
      <c r="I194" s="74">
        <f>I195</f>
        <v>3.38708</v>
      </c>
    </row>
    <row r="195" spans="1:9" ht="33" customHeight="1">
      <c r="A195" s="37" t="s">
        <v>189</v>
      </c>
      <c r="B195" s="17" t="s">
        <v>177</v>
      </c>
      <c r="C195" s="30" t="s">
        <v>160</v>
      </c>
      <c r="D195" s="30" t="s">
        <v>368</v>
      </c>
      <c r="E195" s="30" t="s">
        <v>540</v>
      </c>
      <c r="F195" s="30" t="s">
        <v>190</v>
      </c>
      <c r="G195" s="74">
        <f t="shared" si="20"/>
        <v>3.38708</v>
      </c>
      <c r="H195" s="74">
        <v>0</v>
      </c>
      <c r="I195" s="74">
        <v>3.38708</v>
      </c>
    </row>
    <row r="196" spans="1:9" ht="17.25" customHeight="1">
      <c r="A196" s="45" t="s">
        <v>369</v>
      </c>
      <c r="B196" s="63">
        <v>951</v>
      </c>
      <c r="C196" s="49" t="s">
        <v>160</v>
      </c>
      <c r="D196" s="49" t="s">
        <v>365</v>
      </c>
      <c r="E196" s="49" t="s">
        <v>311</v>
      </c>
      <c r="F196" s="49" t="s">
        <v>398</v>
      </c>
      <c r="G196" s="83">
        <f t="shared" si="20"/>
        <v>42807.14883</v>
      </c>
      <c r="H196" s="83">
        <f>H197+H210</f>
        <v>22807.14883</v>
      </c>
      <c r="I196" s="83">
        <f>I197</f>
        <v>20000</v>
      </c>
    </row>
    <row r="197" spans="1:9" ht="87" customHeight="1">
      <c r="A197" s="45" t="s">
        <v>470</v>
      </c>
      <c r="B197" s="63" t="s">
        <v>177</v>
      </c>
      <c r="C197" s="49" t="s">
        <v>160</v>
      </c>
      <c r="D197" s="49" t="s">
        <v>365</v>
      </c>
      <c r="E197" s="49" t="s">
        <v>311</v>
      </c>
      <c r="F197" s="49" t="s">
        <v>398</v>
      </c>
      <c r="G197" s="83">
        <f t="shared" si="20"/>
        <v>42726.84883</v>
      </c>
      <c r="H197" s="83">
        <f>H198+H201+H205</f>
        <v>22726.84883</v>
      </c>
      <c r="I197" s="83">
        <f>I198+I205</f>
        <v>20000</v>
      </c>
    </row>
    <row r="198" spans="1:9" ht="33" customHeight="1">
      <c r="A198" s="14" t="s">
        <v>370</v>
      </c>
      <c r="B198" s="17">
        <v>951</v>
      </c>
      <c r="C198" s="30" t="s">
        <v>160</v>
      </c>
      <c r="D198" s="30" t="s">
        <v>365</v>
      </c>
      <c r="E198" s="30" t="s">
        <v>473</v>
      </c>
      <c r="F198" s="30" t="s">
        <v>398</v>
      </c>
      <c r="G198" s="74">
        <f t="shared" si="20"/>
        <v>8616.28544</v>
      </c>
      <c r="H198" s="74">
        <f>H199</f>
        <v>8616.28544</v>
      </c>
      <c r="I198" s="74">
        <f>I199</f>
        <v>0</v>
      </c>
    </row>
    <row r="199" spans="1:9" ht="33" customHeight="1">
      <c r="A199" s="14" t="s">
        <v>188</v>
      </c>
      <c r="B199" s="17">
        <v>951</v>
      </c>
      <c r="C199" s="30" t="s">
        <v>160</v>
      </c>
      <c r="D199" s="30" t="s">
        <v>365</v>
      </c>
      <c r="E199" s="30" t="s">
        <v>473</v>
      </c>
      <c r="F199" s="30" t="s">
        <v>158</v>
      </c>
      <c r="G199" s="74">
        <f t="shared" si="20"/>
        <v>8616.28544</v>
      </c>
      <c r="H199" s="74">
        <f>H200</f>
        <v>8616.28544</v>
      </c>
      <c r="I199" s="74">
        <f>I200</f>
        <v>0</v>
      </c>
    </row>
    <row r="200" spans="1:9" ht="41.25" customHeight="1">
      <c r="A200" s="37" t="s">
        <v>189</v>
      </c>
      <c r="B200" s="17">
        <v>951</v>
      </c>
      <c r="C200" s="30" t="s">
        <v>160</v>
      </c>
      <c r="D200" s="30" t="s">
        <v>365</v>
      </c>
      <c r="E200" s="30" t="s">
        <v>473</v>
      </c>
      <c r="F200" s="30" t="s">
        <v>190</v>
      </c>
      <c r="G200" s="74">
        <f t="shared" si="20"/>
        <v>8616.28544</v>
      </c>
      <c r="H200" s="74">
        <f>4183.9798+8726.84883-4700+391.0685+14.38831</f>
        <v>8616.28544</v>
      </c>
      <c r="I200" s="74"/>
    </row>
    <row r="201" spans="1:9" ht="13.5">
      <c r="A201" s="37" t="s">
        <v>199</v>
      </c>
      <c r="B201" s="17">
        <v>951</v>
      </c>
      <c r="C201" s="30" t="s">
        <v>160</v>
      </c>
      <c r="D201" s="30" t="s">
        <v>365</v>
      </c>
      <c r="E201" s="30" t="s">
        <v>472</v>
      </c>
      <c r="F201" s="30" t="s">
        <v>200</v>
      </c>
      <c r="G201" s="74">
        <f t="shared" si="20"/>
        <v>13908.54319</v>
      </c>
      <c r="H201" s="74">
        <f>H202+H203+H204</f>
        <v>13908.54319</v>
      </c>
      <c r="I201" s="74"/>
    </row>
    <row r="202" spans="1:9" ht="16.5" customHeight="1">
      <c r="A202" s="37" t="s">
        <v>294</v>
      </c>
      <c r="B202" s="17">
        <v>951</v>
      </c>
      <c r="C202" s="30" t="s">
        <v>160</v>
      </c>
      <c r="D202" s="30" t="s">
        <v>365</v>
      </c>
      <c r="E202" s="30" t="s">
        <v>472</v>
      </c>
      <c r="F202" s="30" t="s">
        <v>440</v>
      </c>
      <c r="G202" s="74">
        <f t="shared" si="20"/>
        <v>9222.9315</v>
      </c>
      <c r="H202" s="74">
        <f>9614-391.0685</f>
        <v>9222.9315</v>
      </c>
      <c r="I202" s="74"/>
    </row>
    <row r="203" spans="1:9" ht="82.5">
      <c r="A203" s="37" t="s">
        <v>490</v>
      </c>
      <c r="B203" s="17" t="s">
        <v>177</v>
      </c>
      <c r="C203" s="30" t="s">
        <v>160</v>
      </c>
      <c r="D203" s="30" t="s">
        <v>365</v>
      </c>
      <c r="E203" s="30" t="s">
        <v>491</v>
      </c>
      <c r="F203" s="30" t="s">
        <v>440</v>
      </c>
      <c r="G203" s="74">
        <f>H203</f>
        <v>4685.61169</v>
      </c>
      <c r="H203" s="74">
        <f>4700-14.38831</f>
        <v>4685.61169</v>
      </c>
      <c r="I203" s="74"/>
    </row>
    <row r="204" spans="1:9" ht="82.5" hidden="1">
      <c r="A204" s="37" t="s">
        <v>494</v>
      </c>
      <c r="B204" s="17">
        <v>953</v>
      </c>
      <c r="C204" s="30" t="s">
        <v>160</v>
      </c>
      <c r="D204" s="30" t="s">
        <v>365</v>
      </c>
      <c r="E204" s="30" t="s">
        <v>491</v>
      </c>
      <c r="F204" s="30" t="s">
        <v>440</v>
      </c>
      <c r="G204" s="74">
        <f>H204</f>
        <v>0</v>
      </c>
      <c r="H204" s="74"/>
      <c r="I204" s="74"/>
    </row>
    <row r="205" spans="1:9" ht="29.25" customHeight="1">
      <c r="A205" s="46" t="s">
        <v>680</v>
      </c>
      <c r="B205" s="63">
        <v>951</v>
      </c>
      <c r="C205" s="49" t="s">
        <v>160</v>
      </c>
      <c r="D205" s="49" t="s">
        <v>365</v>
      </c>
      <c r="E205" s="49" t="s">
        <v>450</v>
      </c>
      <c r="F205" s="49" t="s">
        <v>398</v>
      </c>
      <c r="G205" s="83">
        <f>H205+I205</f>
        <v>20202.0202</v>
      </c>
      <c r="H205" s="83">
        <f>H207+H209</f>
        <v>202.0202</v>
      </c>
      <c r="I205" s="83">
        <f>I207+I209</f>
        <v>20000</v>
      </c>
    </row>
    <row r="206" spans="1:9" ht="29.25" customHeight="1">
      <c r="A206" s="14" t="s">
        <v>188</v>
      </c>
      <c r="B206" s="17">
        <v>951</v>
      </c>
      <c r="C206" s="30" t="s">
        <v>160</v>
      </c>
      <c r="D206" s="30" t="s">
        <v>365</v>
      </c>
      <c r="E206" s="30" t="s">
        <v>674</v>
      </c>
      <c r="F206" s="30" t="s">
        <v>158</v>
      </c>
      <c r="G206" s="74">
        <f>I206</f>
        <v>20000</v>
      </c>
      <c r="H206" s="74"/>
      <c r="I206" s="74">
        <f>I207</f>
        <v>20000</v>
      </c>
    </row>
    <row r="207" spans="1:9" ht="41.25">
      <c r="A207" s="37" t="s">
        <v>189</v>
      </c>
      <c r="B207" s="17">
        <v>951</v>
      </c>
      <c r="C207" s="30" t="s">
        <v>160</v>
      </c>
      <c r="D207" s="30" t="s">
        <v>365</v>
      </c>
      <c r="E207" s="30" t="s">
        <v>674</v>
      </c>
      <c r="F207" s="30" t="s">
        <v>190</v>
      </c>
      <c r="G207" s="74">
        <f>H207+I207</f>
        <v>20000</v>
      </c>
      <c r="H207" s="74"/>
      <c r="I207" s="74">
        <v>20000</v>
      </c>
    </row>
    <row r="208" spans="1:9" ht="27">
      <c r="A208" s="14" t="s">
        <v>188</v>
      </c>
      <c r="B208" s="17">
        <v>951</v>
      </c>
      <c r="C208" s="30" t="s">
        <v>160</v>
      </c>
      <c r="D208" s="30" t="s">
        <v>365</v>
      </c>
      <c r="E208" s="30" t="s">
        <v>695</v>
      </c>
      <c r="F208" s="30" t="s">
        <v>158</v>
      </c>
      <c r="G208" s="74">
        <f>H208</f>
        <v>202.0202</v>
      </c>
      <c r="H208" s="74">
        <f>H209</f>
        <v>202.0202</v>
      </c>
      <c r="I208" s="74"/>
    </row>
    <row r="209" spans="1:9" ht="41.25">
      <c r="A209" s="37" t="s">
        <v>189</v>
      </c>
      <c r="B209" s="17">
        <v>951</v>
      </c>
      <c r="C209" s="30" t="s">
        <v>160</v>
      </c>
      <c r="D209" s="30" t="s">
        <v>365</v>
      </c>
      <c r="E209" s="30" t="s">
        <v>695</v>
      </c>
      <c r="F209" s="30" t="s">
        <v>190</v>
      </c>
      <c r="G209" s="74">
        <f>H209</f>
        <v>202.0202</v>
      </c>
      <c r="H209" s="74">
        <v>202.0202</v>
      </c>
      <c r="I209" s="116"/>
    </row>
    <row r="210" spans="1:9" ht="30.75" customHeight="1">
      <c r="A210" s="46" t="s">
        <v>152</v>
      </c>
      <c r="B210" s="63" t="s">
        <v>177</v>
      </c>
      <c r="C210" s="49" t="s">
        <v>160</v>
      </c>
      <c r="D210" s="49" t="s">
        <v>365</v>
      </c>
      <c r="E210" s="49" t="s">
        <v>17</v>
      </c>
      <c r="F210" s="49" t="s">
        <v>398</v>
      </c>
      <c r="G210" s="83">
        <f aca="true" t="shared" si="21" ref="G210:G221">H210+I210</f>
        <v>80.3</v>
      </c>
      <c r="H210" s="83">
        <f>H211</f>
        <v>80.3</v>
      </c>
      <c r="I210" s="83"/>
    </row>
    <row r="211" spans="1:9" ht="31.5" customHeight="1">
      <c r="A211" s="37" t="s">
        <v>153</v>
      </c>
      <c r="B211" s="17" t="s">
        <v>177</v>
      </c>
      <c r="C211" s="30" t="s">
        <v>160</v>
      </c>
      <c r="D211" s="30" t="s">
        <v>365</v>
      </c>
      <c r="E211" s="30" t="s">
        <v>18</v>
      </c>
      <c r="F211" s="30" t="s">
        <v>398</v>
      </c>
      <c r="G211" s="74">
        <f t="shared" si="21"/>
        <v>80.3</v>
      </c>
      <c r="H211" s="74">
        <f>H212</f>
        <v>80.3</v>
      </c>
      <c r="I211" s="74"/>
    </row>
    <row r="212" spans="1:9" ht="19.5" customHeight="1">
      <c r="A212" s="14" t="s">
        <v>541</v>
      </c>
      <c r="B212" s="17" t="s">
        <v>177</v>
      </c>
      <c r="C212" s="30" t="s">
        <v>160</v>
      </c>
      <c r="D212" s="30" t="s">
        <v>365</v>
      </c>
      <c r="E212" s="17" t="s">
        <v>542</v>
      </c>
      <c r="F212" s="30" t="s">
        <v>398</v>
      </c>
      <c r="G212" s="74">
        <f t="shared" si="21"/>
        <v>80.3</v>
      </c>
      <c r="H212" s="74">
        <f>H213+H215</f>
        <v>80.3</v>
      </c>
      <c r="I212" s="74"/>
    </row>
    <row r="213" spans="1:9" ht="30.75" customHeight="1" hidden="1">
      <c r="A213" s="14" t="s">
        <v>188</v>
      </c>
      <c r="B213" s="17" t="s">
        <v>177</v>
      </c>
      <c r="C213" s="30" t="s">
        <v>160</v>
      </c>
      <c r="D213" s="30" t="s">
        <v>365</v>
      </c>
      <c r="E213" s="17" t="s">
        <v>542</v>
      </c>
      <c r="F213" s="30" t="s">
        <v>158</v>
      </c>
      <c r="G213" s="74">
        <f t="shared" si="21"/>
        <v>0</v>
      </c>
      <c r="H213" s="74">
        <f>H214</f>
        <v>0</v>
      </c>
      <c r="I213" s="74"/>
    </row>
    <row r="214" spans="1:9" ht="45" customHeight="1" hidden="1">
      <c r="A214" s="37" t="s">
        <v>189</v>
      </c>
      <c r="B214" s="17" t="s">
        <v>177</v>
      </c>
      <c r="C214" s="30" t="s">
        <v>160</v>
      </c>
      <c r="D214" s="30" t="s">
        <v>365</v>
      </c>
      <c r="E214" s="17" t="s">
        <v>542</v>
      </c>
      <c r="F214" s="30" t="s">
        <v>190</v>
      </c>
      <c r="G214" s="74">
        <f t="shared" si="21"/>
        <v>0</v>
      </c>
      <c r="H214" s="74">
        <v>0</v>
      </c>
      <c r="I214" s="74"/>
    </row>
    <row r="215" spans="1:9" ht="18" customHeight="1">
      <c r="A215" s="14" t="s">
        <v>193</v>
      </c>
      <c r="B215" s="17" t="s">
        <v>177</v>
      </c>
      <c r="C215" s="30" t="s">
        <v>160</v>
      </c>
      <c r="D215" s="30" t="s">
        <v>365</v>
      </c>
      <c r="E215" s="17" t="s">
        <v>542</v>
      </c>
      <c r="F215" s="30" t="s">
        <v>194</v>
      </c>
      <c r="G215" s="74">
        <f t="shared" si="21"/>
        <v>80.3</v>
      </c>
      <c r="H215" s="74">
        <f>H216</f>
        <v>80.3</v>
      </c>
      <c r="I215" s="74"/>
    </row>
    <row r="216" spans="1:9" ht="15" customHeight="1">
      <c r="A216" s="31" t="s">
        <v>191</v>
      </c>
      <c r="B216" s="17" t="s">
        <v>177</v>
      </c>
      <c r="C216" s="30" t="s">
        <v>160</v>
      </c>
      <c r="D216" s="30" t="s">
        <v>365</v>
      </c>
      <c r="E216" s="17" t="s">
        <v>542</v>
      </c>
      <c r="F216" s="30" t="s">
        <v>192</v>
      </c>
      <c r="G216" s="74">
        <f t="shared" si="21"/>
        <v>80.3</v>
      </c>
      <c r="H216" s="74">
        <f>80.3</f>
        <v>80.3</v>
      </c>
      <c r="I216" s="74"/>
    </row>
    <row r="217" spans="1:9" ht="27">
      <c r="A217" s="14" t="s">
        <v>350</v>
      </c>
      <c r="B217" s="66">
        <v>951</v>
      </c>
      <c r="C217" s="30" t="s">
        <v>160</v>
      </c>
      <c r="D217" s="30" t="s">
        <v>371</v>
      </c>
      <c r="E217" s="30" t="s">
        <v>311</v>
      </c>
      <c r="F217" s="30" t="s">
        <v>398</v>
      </c>
      <c r="G217" s="74">
        <f t="shared" si="21"/>
        <v>13.120419999999996</v>
      </c>
      <c r="H217" s="95">
        <f>H218</f>
        <v>13.120419999999996</v>
      </c>
      <c r="I217" s="95">
        <f>I218</f>
        <v>0</v>
      </c>
    </row>
    <row r="218" spans="1:9" ht="58.5" customHeight="1">
      <c r="A218" s="45" t="s">
        <v>447</v>
      </c>
      <c r="B218" s="63">
        <v>951</v>
      </c>
      <c r="C218" s="49" t="s">
        <v>160</v>
      </c>
      <c r="D218" s="49" t="s">
        <v>371</v>
      </c>
      <c r="E218" s="49" t="s">
        <v>448</v>
      </c>
      <c r="F218" s="49" t="s">
        <v>398</v>
      </c>
      <c r="G218" s="83">
        <f t="shared" si="21"/>
        <v>13.120419999999996</v>
      </c>
      <c r="H218" s="83">
        <f>H219</f>
        <v>13.120419999999996</v>
      </c>
      <c r="I218" s="83">
        <f aca="true" t="shared" si="22" ref="H218:I220">I219</f>
        <v>0</v>
      </c>
    </row>
    <row r="219" spans="1:9" ht="99" customHeight="1">
      <c r="A219" s="14" t="s">
        <v>373</v>
      </c>
      <c r="B219" s="66">
        <v>951</v>
      </c>
      <c r="C219" s="30" t="s">
        <v>160</v>
      </c>
      <c r="D219" s="30" t="s">
        <v>371</v>
      </c>
      <c r="E219" s="30" t="s">
        <v>449</v>
      </c>
      <c r="F219" s="30" t="s">
        <v>398</v>
      </c>
      <c r="G219" s="74">
        <f t="shared" si="21"/>
        <v>13.120419999999996</v>
      </c>
      <c r="H219" s="95">
        <f t="shared" si="22"/>
        <v>13.120419999999996</v>
      </c>
      <c r="I219" s="95">
        <f t="shared" si="22"/>
        <v>0</v>
      </c>
    </row>
    <row r="220" spans="1:9" ht="16.5" customHeight="1">
      <c r="A220" s="14" t="s">
        <v>193</v>
      </c>
      <c r="B220" s="66">
        <v>951</v>
      </c>
      <c r="C220" s="30" t="s">
        <v>160</v>
      </c>
      <c r="D220" s="30" t="s">
        <v>371</v>
      </c>
      <c r="E220" s="30" t="s">
        <v>449</v>
      </c>
      <c r="F220" s="30" t="s">
        <v>194</v>
      </c>
      <c r="G220" s="74">
        <f t="shared" si="21"/>
        <v>13.120419999999996</v>
      </c>
      <c r="H220" s="95">
        <f t="shared" si="22"/>
        <v>13.120419999999996</v>
      </c>
      <c r="I220" s="95">
        <f t="shared" si="22"/>
        <v>0</v>
      </c>
    </row>
    <row r="221" spans="1:9" ht="48" customHeight="1">
      <c r="A221" s="14" t="s">
        <v>668</v>
      </c>
      <c r="B221" s="66">
        <v>951</v>
      </c>
      <c r="C221" s="30" t="s">
        <v>160</v>
      </c>
      <c r="D221" s="30" t="s">
        <v>371</v>
      </c>
      <c r="E221" s="30" t="s">
        <v>449</v>
      </c>
      <c r="F221" s="30" t="s">
        <v>375</v>
      </c>
      <c r="G221" s="74">
        <f t="shared" si="21"/>
        <v>13.120419999999996</v>
      </c>
      <c r="H221" s="95">
        <f>200-186.87958</f>
        <v>13.120419999999996</v>
      </c>
      <c r="I221" s="95"/>
    </row>
    <row r="222" spans="1:9" ht="13.5" hidden="1">
      <c r="A222" s="45"/>
      <c r="B222" s="63"/>
      <c r="C222" s="49"/>
      <c r="D222" s="49"/>
      <c r="E222" s="49"/>
      <c r="F222" s="49"/>
      <c r="G222" s="83"/>
      <c r="H222" s="83"/>
      <c r="I222" s="83"/>
    </row>
    <row r="223" spans="1:9" ht="13.5" hidden="1">
      <c r="A223" s="37"/>
      <c r="B223" s="66"/>
      <c r="C223" s="30"/>
      <c r="D223" s="30"/>
      <c r="E223" s="30"/>
      <c r="F223" s="30"/>
      <c r="G223" s="74"/>
      <c r="H223" s="95"/>
      <c r="I223" s="95"/>
    </row>
    <row r="224" spans="1:9" ht="13.5" hidden="1">
      <c r="A224" s="37"/>
      <c r="B224" s="66"/>
      <c r="C224" s="30"/>
      <c r="D224" s="30"/>
      <c r="E224" s="30"/>
      <c r="F224" s="30"/>
      <c r="G224" s="74"/>
      <c r="H224" s="95"/>
      <c r="I224" s="95"/>
    </row>
    <row r="225" spans="1:9" ht="29.25" customHeight="1">
      <c r="A225" s="91" t="s">
        <v>376</v>
      </c>
      <c r="B225" s="150">
        <v>951</v>
      </c>
      <c r="C225" s="69" t="s">
        <v>377</v>
      </c>
      <c r="D225" s="69" t="s">
        <v>150</v>
      </c>
      <c r="E225" s="69" t="s">
        <v>311</v>
      </c>
      <c r="F225" s="69" t="s">
        <v>398</v>
      </c>
      <c r="G225" s="107">
        <f aca="true" t="shared" si="23" ref="G225:G253">H225+I225</f>
        <v>6450.82215</v>
      </c>
      <c r="H225" s="82">
        <f>H226+H260+H250</f>
        <v>6449.538</v>
      </c>
      <c r="I225" s="82">
        <f>I226+I260+I250</f>
        <v>1.28415</v>
      </c>
    </row>
    <row r="226" spans="1:9" ht="13.5">
      <c r="A226" s="45" t="s">
        <v>351</v>
      </c>
      <c r="B226" s="63">
        <v>951</v>
      </c>
      <c r="C226" s="49" t="s">
        <v>377</v>
      </c>
      <c r="D226" s="49" t="s">
        <v>151</v>
      </c>
      <c r="E226" s="49" t="s">
        <v>311</v>
      </c>
      <c r="F226" s="49" t="s">
        <v>398</v>
      </c>
      <c r="G226" s="83">
        <f t="shared" si="23"/>
        <v>2133.566</v>
      </c>
      <c r="H226" s="83">
        <f>H227+H231+H234+H237+H242+H247</f>
        <v>2133.566</v>
      </c>
      <c r="I226" s="83">
        <f>I227+I237</f>
        <v>0</v>
      </c>
    </row>
    <row r="227" spans="1:9" ht="17.25" customHeight="1">
      <c r="A227" s="14" t="s">
        <v>352</v>
      </c>
      <c r="B227" s="17">
        <v>951</v>
      </c>
      <c r="C227" s="30" t="s">
        <v>377</v>
      </c>
      <c r="D227" s="30" t="s">
        <v>151</v>
      </c>
      <c r="E227" s="30" t="s">
        <v>30</v>
      </c>
      <c r="F227" s="30" t="s">
        <v>398</v>
      </c>
      <c r="G227" s="74">
        <f t="shared" si="23"/>
        <v>321.79999999999995</v>
      </c>
      <c r="H227" s="74">
        <f>H228</f>
        <v>321.79999999999995</v>
      </c>
      <c r="I227" s="74">
        <f aca="true" t="shared" si="24" ref="H227:I229">I228</f>
        <v>0</v>
      </c>
    </row>
    <row r="228" spans="1:9" ht="27">
      <c r="A228" s="14" t="s">
        <v>543</v>
      </c>
      <c r="B228" s="17">
        <v>951</v>
      </c>
      <c r="C228" s="30" t="s">
        <v>377</v>
      </c>
      <c r="D228" s="30" t="s">
        <v>151</v>
      </c>
      <c r="E228" s="30" t="s">
        <v>30</v>
      </c>
      <c r="F228" s="30" t="s">
        <v>398</v>
      </c>
      <c r="G228" s="74">
        <f t="shared" si="23"/>
        <v>321.79999999999995</v>
      </c>
      <c r="H228" s="74">
        <f t="shared" si="24"/>
        <v>321.79999999999995</v>
      </c>
      <c r="I228" s="74">
        <f t="shared" si="24"/>
        <v>0</v>
      </c>
    </row>
    <row r="229" spans="1:9" ht="30" customHeight="1">
      <c r="A229" s="14" t="s">
        <v>188</v>
      </c>
      <c r="B229" s="17">
        <v>951</v>
      </c>
      <c r="C229" s="30" t="s">
        <v>377</v>
      </c>
      <c r="D229" s="30" t="s">
        <v>151</v>
      </c>
      <c r="E229" s="30" t="s">
        <v>30</v>
      </c>
      <c r="F229" s="30" t="s">
        <v>158</v>
      </c>
      <c r="G229" s="74">
        <f t="shared" si="23"/>
        <v>321.79999999999995</v>
      </c>
      <c r="H229" s="74">
        <f t="shared" si="24"/>
        <v>321.79999999999995</v>
      </c>
      <c r="I229" s="74">
        <f t="shared" si="24"/>
        <v>0</v>
      </c>
    </row>
    <row r="230" spans="1:9" ht="43.5" customHeight="1">
      <c r="A230" s="37" t="s">
        <v>189</v>
      </c>
      <c r="B230" s="17">
        <v>951</v>
      </c>
      <c r="C230" s="30" t="s">
        <v>377</v>
      </c>
      <c r="D230" s="30" t="s">
        <v>151</v>
      </c>
      <c r="E230" s="30" t="s">
        <v>30</v>
      </c>
      <c r="F230" s="30" t="s">
        <v>190</v>
      </c>
      <c r="G230" s="74">
        <f t="shared" si="23"/>
        <v>321.79999999999995</v>
      </c>
      <c r="H230" s="109">
        <f>521.8-200</f>
        <v>321.79999999999995</v>
      </c>
      <c r="I230" s="74"/>
    </row>
    <row r="231" spans="1:9" ht="27">
      <c r="A231" s="14" t="s">
        <v>469</v>
      </c>
      <c r="B231" s="17">
        <v>951</v>
      </c>
      <c r="C231" s="30" t="s">
        <v>377</v>
      </c>
      <c r="D231" s="30" t="s">
        <v>151</v>
      </c>
      <c r="E231" s="30" t="s">
        <v>98</v>
      </c>
      <c r="F231" s="30" t="s">
        <v>398</v>
      </c>
      <c r="G231" s="74">
        <f t="shared" si="23"/>
        <v>1691.766</v>
      </c>
      <c r="H231" s="74">
        <f>H232</f>
        <v>1691.766</v>
      </c>
      <c r="I231" s="74"/>
    </row>
    <row r="232" spans="1:9" ht="27">
      <c r="A232" s="14" t="s">
        <v>188</v>
      </c>
      <c r="B232" s="17">
        <v>951</v>
      </c>
      <c r="C232" s="30" t="s">
        <v>377</v>
      </c>
      <c r="D232" s="30" t="s">
        <v>151</v>
      </c>
      <c r="E232" s="30" t="s">
        <v>98</v>
      </c>
      <c r="F232" s="30" t="s">
        <v>158</v>
      </c>
      <c r="G232" s="74">
        <f t="shared" si="23"/>
        <v>1691.766</v>
      </c>
      <c r="H232" s="74">
        <f>H233</f>
        <v>1691.766</v>
      </c>
      <c r="I232" s="74"/>
    </row>
    <row r="233" spans="1:9" ht="41.25">
      <c r="A233" s="37" t="s">
        <v>189</v>
      </c>
      <c r="B233" s="17">
        <v>951</v>
      </c>
      <c r="C233" s="30" t="s">
        <v>377</v>
      </c>
      <c r="D233" s="30" t="s">
        <v>151</v>
      </c>
      <c r="E233" s="30" t="s">
        <v>98</v>
      </c>
      <c r="F233" s="30" t="s">
        <v>190</v>
      </c>
      <c r="G233" s="74">
        <f t="shared" si="23"/>
        <v>1691.766</v>
      </c>
      <c r="H233" s="109">
        <f>812.9+878.866</f>
        <v>1691.766</v>
      </c>
      <c r="I233" s="74"/>
    </row>
    <row r="234" spans="1:9" ht="41.25" hidden="1">
      <c r="A234" s="46" t="s">
        <v>702</v>
      </c>
      <c r="B234" s="63">
        <v>951</v>
      </c>
      <c r="C234" s="49" t="s">
        <v>377</v>
      </c>
      <c r="D234" s="49" t="s">
        <v>151</v>
      </c>
      <c r="E234" s="49" t="s">
        <v>703</v>
      </c>
      <c r="F234" s="49" t="s">
        <v>398</v>
      </c>
      <c r="G234" s="83">
        <f t="shared" si="23"/>
        <v>0</v>
      </c>
      <c r="H234" s="83">
        <f>H235</f>
        <v>0</v>
      </c>
      <c r="I234" s="74"/>
    </row>
    <row r="235" spans="1:9" ht="27" hidden="1">
      <c r="A235" s="14" t="s">
        <v>188</v>
      </c>
      <c r="B235" s="17">
        <v>951</v>
      </c>
      <c r="C235" s="30" t="s">
        <v>377</v>
      </c>
      <c r="D235" s="30" t="s">
        <v>151</v>
      </c>
      <c r="E235" s="30" t="s">
        <v>703</v>
      </c>
      <c r="F235" s="30" t="s">
        <v>158</v>
      </c>
      <c r="G235" s="74">
        <f t="shared" si="23"/>
        <v>0</v>
      </c>
      <c r="H235" s="74">
        <f>H236</f>
        <v>0</v>
      </c>
      <c r="I235" s="74"/>
    </row>
    <row r="236" spans="1:9" ht="41.25" hidden="1">
      <c r="A236" s="37" t="s">
        <v>189</v>
      </c>
      <c r="B236" s="17">
        <v>951</v>
      </c>
      <c r="C236" s="30" t="s">
        <v>377</v>
      </c>
      <c r="D236" s="30" t="s">
        <v>151</v>
      </c>
      <c r="E236" s="30" t="s">
        <v>703</v>
      </c>
      <c r="F236" s="30" t="s">
        <v>190</v>
      </c>
      <c r="G236" s="74">
        <f t="shared" si="23"/>
        <v>0</v>
      </c>
      <c r="H236" s="74">
        <v>0</v>
      </c>
      <c r="I236" s="74"/>
    </row>
    <row r="237" spans="1:9" ht="69.75" customHeight="1" hidden="1">
      <c r="A237" s="45" t="s">
        <v>544</v>
      </c>
      <c r="B237" s="63" t="s">
        <v>177</v>
      </c>
      <c r="C237" s="49" t="s">
        <v>377</v>
      </c>
      <c r="D237" s="49" t="s">
        <v>151</v>
      </c>
      <c r="E237" s="49" t="s">
        <v>545</v>
      </c>
      <c r="F237" s="49" t="s">
        <v>398</v>
      </c>
      <c r="G237" s="83">
        <f t="shared" si="23"/>
        <v>0</v>
      </c>
      <c r="H237" s="83">
        <f>H238</f>
        <v>0</v>
      </c>
      <c r="I237" s="83">
        <f>I238</f>
        <v>0</v>
      </c>
    </row>
    <row r="238" spans="1:9" ht="54.75" hidden="1">
      <c r="A238" s="37" t="s">
        <v>546</v>
      </c>
      <c r="B238" s="17" t="s">
        <v>177</v>
      </c>
      <c r="C238" s="30" t="s">
        <v>377</v>
      </c>
      <c r="D238" s="30" t="s">
        <v>151</v>
      </c>
      <c r="E238" s="30" t="s">
        <v>545</v>
      </c>
      <c r="F238" s="30" t="s">
        <v>398</v>
      </c>
      <c r="G238" s="74">
        <f t="shared" si="23"/>
        <v>0</v>
      </c>
      <c r="H238" s="74">
        <f>H239</f>
        <v>0</v>
      </c>
      <c r="I238" s="74">
        <f>I239</f>
        <v>0</v>
      </c>
    </row>
    <row r="239" spans="1:9" ht="13.5" hidden="1">
      <c r="A239" s="14" t="s">
        <v>193</v>
      </c>
      <c r="B239" s="17" t="s">
        <v>177</v>
      </c>
      <c r="C239" s="30" t="s">
        <v>377</v>
      </c>
      <c r="D239" s="30" t="s">
        <v>151</v>
      </c>
      <c r="E239" s="30" t="s">
        <v>545</v>
      </c>
      <c r="F239" s="30" t="s">
        <v>194</v>
      </c>
      <c r="G239" s="74">
        <f t="shared" si="23"/>
        <v>0</v>
      </c>
      <c r="H239" s="74">
        <f>H241</f>
        <v>0</v>
      </c>
      <c r="I239" s="74">
        <f>I240</f>
        <v>0</v>
      </c>
    </row>
    <row r="240" spans="1:9" ht="41.25" customHeight="1" hidden="1">
      <c r="A240" s="14" t="s">
        <v>671</v>
      </c>
      <c r="B240" s="17" t="s">
        <v>177</v>
      </c>
      <c r="C240" s="30" t="s">
        <v>377</v>
      </c>
      <c r="D240" s="30" t="s">
        <v>151</v>
      </c>
      <c r="E240" s="30" t="s">
        <v>547</v>
      </c>
      <c r="F240" s="30" t="s">
        <v>375</v>
      </c>
      <c r="G240" s="74">
        <f t="shared" si="23"/>
        <v>0</v>
      </c>
      <c r="H240" s="74"/>
      <c r="I240" s="74"/>
    </row>
    <row r="241" spans="1:9" ht="43.5" customHeight="1" hidden="1">
      <c r="A241" s="14" t="s">
        <v>672</v>
      </c>
      <c r="B241" s="17" t="s">
        <v>177</v>
      </c>
      <c r="C241" s="30" t="s">
        <v>377</v>
      </c>
      <c r="D241" s="30" t="s">
        <v>151</v>
      </c>
      <c r="E241" s="30" t="s">
        <v>694</v>
      </c>
      <c r="F241" s="30" t="s">
        <v>375</v>
      </c>
      <c r="G241" s="74">
        <f t="shared" si="23"/>
        <v>0</v>
      </c>
      <c r="H241" s="74">
        <f>21-21</f>
        <v>0</v>
      </c>
      <c r="I241" s="74"/>
    </row>
    <row r="242" spans="1:9" ht="33" customHeight="1">
      <c r="A242" s="46" t="s">
        <v>152</v>
      </c>
      <c r="B242" s="17" t="s">
        <v>177</v>
      </c>
      <c r="C242" s="30" t="s">
        <v>377</v>
      </c>
      <c r="D242" s="30" t="s">
        <v>151</v>
      </c>
      <c r="E242" s="49" t="s">
        <v>17</v>
      </c>
      <c r="F242" s="49" t="s">
        <v>398</v>
      </c>
      <c r="G242" s="83">
        <f t="shared" si="23"/>
        <v>120</v>
      </c>
      <c r="H242" s="83">
        <f>H243</f>
        <v>120</v>
      </c>
      <c r="I242" s="74"/>
    </row>
    <row r="243" spans="1:9" ht="30.75" customHeight="1">
      <c r="A243" s="37" t="s">
        <v>153</v>
      </c>
      <c r="B243" s="17" t="s">
        <v>177</v>
      </c>
      <c r="C243" s="30" t="s">
        <v>377</v>
      </c>
      <c r="D243" s="30" t="s">
        <v>151</v>
      </c>
      <c r="E243" s="30" t="s">
        <v>18</v>
      </c>
      <c r="F243" s="30" t="s">
        <v>398</v>
      </c>
      <c r="G243" s="74">
        <f t="shared" si="23"/>
        <v>120</v>
      </c>
      <c r="H243" s="74">
        <f>H244</f>
        <v>120</v>
      </c>
      <c r="I243" s="74"/>
    </row>
    <row r="244" spans="1:9" ht="105" customHeight="1">
      <c r="A244" s="64" t="s">
        <v>548</v>
      </c>
      <c r="B244" s="76" t="s">
        <v>177</v>
      </c>
      <c r="C244" s="62" t="s">
        <v>377</v>
      </c>
      <c r="D244" s="62" t="s">
        <v>151</v>
      </c>
      <c r="E244" s="62" t="s">
        <v>549</v>
      </c>
      <c r="F244" s="62" t="s">
        <v>398</v>
      </c>
      <c r="G244" s="77">
        <f t="shared" si="23"/>
        <v>120</v>
      </c>
      <c r="H244" s="77">
        <f>H245</f>
        <v>120</v>
      </c>
      <c r="I244" s="77"/>
    </row>
    <row r="245" spans="1:9" ht="27">
      <c r="A245" s="14" t="s">
        <v>188</v>
      </c>
      <c r="B245" s="17" t="s">
        <v>177</v>
      </c>
      <c r="C245" s="30" t="s">
        <v>377</v>
      </c>
      <c r="D245" s="30" t="s">
        <v>151</v>
      </c>
      <c r="E245" s="30" t="s">
        <v>549</v>
      </c>
      <c r="F245" s="30" t="s">
        <v>158</v>
      </c>
      <c r="G245" s="74">
        <f t="shared" si="23"/>
        <v>120</v>
      </c>
      <c r="H245" s="74">
        <f>H246</f>
        <v>120</v>
      </c>
      <c r="I245" s="74"/>
    </row>
    <row r="246" spans="1:9" ht="45" customHeight="1">
      <c r="A246" s="37" t="s">
        <v>189</v>
      </c>
      <c r="B246" s="17" t="s">
        <v>177</v>
      </c>
      <c r="C246" s="30" t="s">
        <v>377</v>
      </c>
      <c r="D246" s="30" t="s">
        <v>151</v>
      </c>
      <c r="E246" s="30" t="s">
        <v>549</v>
      </c>
      <c r="F246" s="30" t="s">
        <v>190</v>
      </c>
      <c r="G246" s="74">
        <f t="shared" si="23"/>
        <v>120</v>
      </c>
      <c r="H246" s="74">
        <f>250-130</f>
        <v>120</v>
      </c>
      <c r="I246" s="74"/>
    </row>
    <row r="247" spans="1:9" ht="57.75" customHeight="1" hidden="1">
      <c r="A247" s="46" t="s">
        <v>505</v>
      </c>
      <c r="B247" s="63" t="s">
        <v>177</v>
      </c>
      <c r="C247" s="49" t="s">
        <v>377</v>
      </c>
      <c r="D247" s="49" t="s">
        <v>151</v>
      </c>
      <c r="E247" s="49" t="s">
        <v>311</v>
      </c>
      <c r="F247" s="49" t="s">
        <v>398</v>
      </c>
      <c r="G247" s="83">
        <f t="shared" si="23"/>
        <v>0</v>
      </c>
      <c r="H247" s="83">
        <f>H248</f>
        <v>0</v>
      </c>
      <c r="I247" s="83"/>
    </row>
    <row r="248" spans="1:9" ht="27.75" customHeight="1" hidden="1">
      <c r="A248" s="65" t="s">
        <v>188</v>
      </c>
      <c r="B248" s="66" t="s">
        <v>177</v>
      </c>
      <c r="C248" s="20" t="s">
        <v>377</v>
      </c>
      <c r="D248" s="20" t="s">
        <v>151</v>
      </c>
      <c r="E248" s="30" t="s">
        <v>628</v>
      </c>
      <c r="F248" s="30" t="s">
        <v>158</v>
      </c>
      <c r="G248" s="95">
        <f t="shared" si="23"/>
        <v>0</v>
      </c>
      <c r="H248" s="95">
        <f>H249</f>
        <v>0</v>
      </c>
      <c r="I248" s="74"/>
    </row>
    <row r="249" spans="1:9" ht="42" customHeight="1" hidden="1">
      <c r="A249" s="67" t="s">
        <v>189</v>
      </c>
      <c r="B249" s="66" t="s">
        <v>177</v>
      </c>
      <c r="C249" s="20" t="s">
        <v>377</v>
      </c>
      <c r="D249" s="20" t="s">
        <v>151</v>
      </c>
      <c r="E249" s="30" t="s">
        <v>628</v>
      </c>
      <c r="F249" s="30" t="s">
        <v>190</v>
      </c>
      <c r="G249" s="95">
        <f t="shared" si="23"/>
        <v>0</v>
      </c>
      <c r="H249" s="95">
        <v>0</v>
      </c>
      <c r="I249" s="74"/>
    </row>
    <row r="250" spans="1:9" ht="13.5">
      <c r="A250" s="46" t="s">
        <v>382</v>
      </c>
      <c r="B250" s="63">
        <v>951</v>
      </c>
      <c r="C250" s="49" t="s">
        <v>377</v>
      </c>
      <c r="D250" s="49" t="s">
        <v>156</v>
      </c>
      <c r="E250" s="49" t="s">
        <v>311</v>
      </c>
      <c r="F250" s="49" t="s">
        <v>398</v>
      </c>
      <c r="G250" s="83">
        <f t="shared" si="23"/>
        <v>126</v>
      </c>
      <c r="H250" s="83">
        <f>H251+H255</f>
        <v>126</v>
      </c>
      <c r="I250" s="83">
        <f>I251+I255</f>
        <v>0</v>
      </c>
    </row>
    <row r="251" spans="1:9" ht="13.5">
      <c r="A251" s="37" t="s">
        <v>383</v>
      </c>
      <c r="B251" s="17">
        <v>951</v>
      </c>
      <c r="C251" s="30" t="s">
        <v>377</v>
      </c>
      <c r="D251" s="30" t="s">
        <v>156</v>
      </c>
      <c r="E251" s="30" t="s">
        <v>31</v>
      </c>
      <c r="F251" s="30" t="s">
        <v>398</v>
      </c>
      <c r="G251" s="74">
        <f t="shared" si="23"/>
        <v>90</v>
      </c>
      <c r="H251" s="74">
        <f>H252</f>
        <v>90</v>
      </c>
      <c r="I251" s="74">
        <f>I252</f>
        <v>0</v>
      </c>
    </row>
    <row r="252" spans="1:9" ht="27">
      <c r="A252" s="14" t="s">
        <v>188</v>
      </c>
      <c r="B252" s="17">
        <v>951</v>
      </c>
      <c r="C252" s="30" t="s">
        <v>377</v>
      </c>
      <c r="D252" s="30" t="s">
        <v>156</v>
      </c>
      <c r="E252" s="30" t="s">
        <v>31</v>
      </c>
      <c r="F252" s="30" t="s">
        <v>158</v>
      </c>
      <c r="G252" s="74">
        <f t="shared" si="23"/>
        <v>90</v>
      </c>
      <c r="H252" s="74">
        <f>H253</f>
        <v>90</v>
      </c>
      <c r="I252" s="74">
        <f>I253</f>
        <v>0</v>
      </c>
    </row>
    <row r="253" spans="1:9" ht="41.25">
      <c r="A253" s="37" t="s">
        <v>189</v>
      </c>
      <c r="B253" s="17">
        <v>951</v>
      </c>
      <c r="C253" s="30" t="s">
        <v>377</v>
      </c>
      <c r="D253" s="30" t="s">
        <v>156</v>
      </c>
      <c r="E253" s="30" t="s">
        <v>31</v>
      </c>
      <c r="F253" s="30" t="s">
        <v>190</v>
      </c>
      <c r="G253" s="74">
        <f t="shared" si="23"/>
        <v>90</v>
      </c>
      <c r="H253" s="74">
        <f>90</f>
        <v>90</v>
      </c>
      <c r="I253" s="74"/>
    </row>
    <row r="254" spans="1:9" ht="13.5" hidden="1">
      <c r="A254" s="37"/>
      <c r="B254" s="17"/>
      <c r="C254" s="30"/>
      <c r="D254" s="30"/>
      <c r="E254" s="30"/>
      <c r="F254" s="30"/>
      <c r="G254" s="74"/>
      <c r="H254" s="74"/>
      <c r="I254" s="74"/>
    </row>
    <row r="255" spans="1:9" ht="15.75" customHeight="1">
      <c r="A255" s="37" t="s">
        <v>384</v>
      </c>
      <c r="B255" s="17">
        <v>951</v>
      </c>
      <c r="C255" s="30" t="s">
        <v>377</v>
      </c>
      <c r="D255" s="30" t="s">
        <v>156</v>
      </c>
      <c r="E255" s="30" t="s">
        <v>32</v>
      </c>
      <c r="F255" s="30" t="s">
        <v>398</v>
      </c>
      <c r="G255" s="74">
        <f>H255+I255</f>
        <v>36</v>
      </c>
      <c r="H255" s="74">
        <f>H256+H258</f>
        <v>36</v>
      </c>
      <c r="I255" s="74">
        <f>I256</f>
        <v>0</v>
      </c>
    </row>
    <row r="256" spans="1:9" ht="27">
      <c r="A256" s="14" t="s">
        <v>188</v>
      </c>
      <c r="B256" s="17">
        <v>951</v>
      </c>
      <c r="C256" s="30" t="s">
        <v>377</v>
      </c>
      <c r="D256" s="30" t="s">
        <v>156</v>
      </c>
      <c r="E256" s="30" t="s">
        <v>32</v>
      </c>
      <c r="F256" s="30" t="s">
        <v>158</v>
      </c>
      <c r="G256" s="74">
        <f>H256+I256</f>
        <v>36</v>
      </c>
      <c r="H256" s="74">
        <f>H257</f>
        <v>36</v>
      </c>
      <c r="I256" s="74">
        <f>I257</f>
        <v>0</v>
      </c>
    </row>
    <row r="257" spans="1:9" ht="41.25">
      <c r="A257" s="37" t="s">
        <v>189</v>
      </c>
      <c r="B257" s="17">
        <v>951</v>
      </c>
      <c r="C257" s="30" t="s">
        <v>377</v>
      </c>
      <c r="D257" s="30" t="s">
        <v>156</v>
      </c>
      <c r="E257" s="30" t="s">
        <v>32</v>
      </c>
      <c r="F257" s="30" t="s">
        <v>190</v>
      </c>
      <c r="G257" s="74">
        <f>H257+I257</f>
        <v>36</v>
      </c>
      <c r="H257" s="74">
        <f>100-64</f>
        <v>36</v>
      </c>
      <c r="I257" s="74"/>
    </row>
    <row r="258" spans="1:9" ht="41.25" hidden="1">
      <c r="A258" s="37" t="s">
        <v>571</v>
      </c>
      <c r="B258" s="17" t="s">
        <v>177</v>
      </c>
      <c r="C258" s="30" t="s">
        <v>377</v>
      </c>
      <c r="D258" s="30" t="s">
        <v>156</v>
      </c>
      <c r="E258" s="30" t="s">
        <v>32</v>
      </c>
      <c r="F258" s="30" t="s">
        <v>572</v>
      </c>
      <c r="G258" s="74">
        <f>H258</f>
        <v>0</v>
      </c>
      <c r="H258" s="74">
        <f>H259</f>
        <v>0</v>
      </c>
      <c r="I258" s="74"/>
    </row>
    <row r="259" spans="1:9" ht="13.5" hidden="1">
      <c r="A259" s="37" t="s">
        <v>573</v>
      </c>
      <c r="B259" s="17" t="s">
        <v>177</v>
      </c>
      <c r="C259" s="30" t="s">
        <v>377</v>
      </c>
      <c r="D259" s="30" t="s">
        <v>156</v>
      </c>
      <c r="E259" s="30" t="s">
        <v>32</v>
      </c>
      <c r="F259" s="30" t="s">
        <v>574</v>
      </c>
      <c r="G259" s="74">
        <f>H259</f>
        <v>0</v>
      </c>
      <c r="H259" s="74">
        <v>0</v>
      </c>
      <c r="I259" s="74"/>
    </row>
    <row r="260" spans="1:9" ht="27">
      <c r="A260" s="14" t="s">
        <v>355</v>
      </c>
      <c r="B260" s="17">
        <v>951</v>
      </c>
      <c r="C260" s="30" t="s">
        <v>377</v>
      </c>
      <c r="D260" s="30" t="s">
        <v>377</v>
      </c>
      <c r="E260" s="30" t="s">
        <v>311</v>
      </c>
      <c r="F260" s="30" t="s">
        <v>398</v>
      </c>
      <c r="G260" s="74">
        <f aca="true" t="shared" si="25" ref="G260:G272">H260+I260</f>
        <v>4191.25615</v>
      </c>
      <c r="H260" s="74">
        <f aca="true" t="shared" si="26" ref="H260:I262">H261</f>
        <v>4189.972</v>
      </c>
      <c r="I260" s="74">
        <f>I261+I268</f>
        <v>1.28415</v>
      </c>
    </row>
    <row r="261" spans="1:9" ht="27">
      <c r="A261" s="14" t="s">
        <v>152</v>
      </c>
      <c r="B261" s="17">
        <v>951</v>
      </c>
      <c r="C261" s="30" t="s">
        <v>377</v>
      </c>
      <c r="D261" s="30" t="s">
        <v>377</v>
      </c>
      <c r="E261" s="30" t="s">
        <v>17</v>
      </c>
      <c r="F261" s="30" t="s">
        <v>398</v>
      </c>
      <c r="G261" s="74">
        <f t="shared" si="25"/>
        <v>4189.972</v>
      </c>
      <c r="H261" s="74">
        <f t="shared" si="26"/>
        <v>4189.972</v>
      </c>
      <c r="I261" s="74">
        <f t="shared" si="26"/>
        <v>0</v>
      </c>
    </row>
    <row r="262" spans="1:9" ht="41.25">
      <c r="A262" s="14" t="s">
        <v>153</v>
      </c>
      <c r="B262" s="17">
        <v>951</v>
      </c>
      <c r="C262" s="30" t="s">
        <v>377</v>
      </c>
      <c r="D262" s="30" t="s">
        <v>377</v>
      </c>
      <c r="E262" s="30" t="s">
        <v>18</v>
      </c>
      <c r="F262" s="30" t="s">
        <v>398</v>
      </c>
      <c r="G262" s="74">
        <f t="shared" si="25"/>
        <v>4189.972</v>
      </c>
      <c r="H262" s="74">
        <f t="shared" si="26"/>
        <v>4189.972</v>
      </c>
      <c r="I262" s="74">
        <f t="shared" si="26"/>
        <v>0</v>
      </c>
    </row>
    <row r="263" spans="1:11" ht="41.25">
      <c r="A263" s="14" t="s">
        <v>378</v>
      </c>
      <c r="B263" s="17">
        <v>951</v>
      </c>
      <c r="C263" s="30" t="s">
        <v>377</v>
      </c>
      <c r="D263" s="30" t="s">
        <v>377</v>
      </c>
      <c r="E263" s="30" t="s">
        <v>21</v>
      </c>
      <c r="F263" s="30" t="s">
        <v>398</v>
      </c>
      <c r="G263" s="74">
        <f t="shared" si="25"/>
        <v>4189.972</v>
      </c>
      <c r="H263" s="74">
        <f>H264+H266</f>
        <v>4189.972</v>
      </c>
      <c r="I263" s="74">
        <f>I264+I266</f>
        <v>0</v>
      </c>
      <c r="J263" s="322"/>
      <c r="K263" s="73"/>
    </row>
    <row r="264" spans="1:9" ht="72" customHeight="1">
      <c r="A264" s="14" t="s">
        <v>185</v>
      </c>
      <c r="B264" s="17">
        <v>951</v>
      </c>
      <c r="C264" s="30" t="s">
        <v>377</v>
      </c>
      <c r="D264" s="30" t="s">
        <v>377</v>
      </c>
      <c r="E264" s="30" t="s">
        <v>21</v>
      </c>
      <c r="F264" s="30" t="s">
        <v>154</v>
      </c>
      <c r="G264" s="74">
        <f t="shared" si="25"/>
        <v>3983.9</v>
      </c>
      <c r="H264" s="74">
        <f>H265</f>
        <v>3983.9</v>
      </c>
      <c r="I264" s="74">
        <f>I265</f>
        <v>0</v>
      </c>
    </row>
    <row r="265" spans="1:9" ht="27">
      <c r="A265" s="37" t="s">
        <v>187</v>
      </c>
      <c r="B265" s="17">
        <v>951</v>
      </c>
      <c r="C265" s="30" t="s">
        <v>377</v>
      </c>
      <c r="D265" s="30" t="s">
        <v>377</v>
      </c>
      <c r="E265" s="30" t="s">
        <v>21</v>
      </c>
      <c r="F265" s="30" t="s">
        <v>186</v>
      </c>
      <c r="G265" s="74">
        <f t="shared" si="25"/>
        <v>3983.9</v>
      </c>
      <c r="H265" s="74">
        <f>2862+45+864.3+86+26-3.4+80+24</f>
        <v>3983.9</v>
      </c>
      <c r="I265" s="74"/>
    </row>
    <row r="266" spans="1:10" ht="27">
      <c r="A266" s="14" t="s">
        <v>188</v>
      </c>
      <c r="B266" s="17">
        <v>951</v>
      </c>
      <c r="C266" s="30" t="s">
        <v>377</v>
      </c>
      <c r="D266" s="30" t="s">
        <v>377</v>
      </c>
      <c r="E266" s="30" t="s">
        <v>21</v>
      </c>
      <c r="F266" s="30" t="s">
        <v>158</v>
      </c>
      <c r="G266" s="74">
        <f t="shared" si="25"/>
        <v>206.072</v>
      </c>
      <c r="H266" s="74">
        <f>H267</f>
        <v>206.072</v>
      </c>
      <c r="I266" s="74">
        <f>I267</f>
        <v>0</v>
      </c>
      <c r="J266" s="73"/>
    </row>
    <row r="267" spans="1:9" ht="41.25">
      <c r="A267" s="37" t="s">
        <v>189</v>
      </c>
      <c r="B267" s="17">
        <v>951</v>
      </c>
      <c r="C267" s="30" t="s">
        <v>377</v>
      </c>
      <c r="D267" s="30" t="s">
        <v>377</v>
      </c>
      <c r="E267" s="30" t="s">
        <v>21</v>
      </c>
      <c r="F267" s="30" t="s">
        <v>190</v>
      </c>
      <c r="G267" s="74">
        <f t="shared" si="25"/>
        <v>206.072</v>
      </c>
      <c r="H267" s="74">
        <v>206.072</v>
      </c>
      <c r="I267" s="74"/>
    </row>
    <row r="268" spans="1:9" ht="69">
      <c r="A268" s="37" t="s">
        <v>691</v>
      </c>
      <c r="B268" s="17" t="s">
        <v>177</v>
      </c>
      <c r="C268" s="30" t="s">
        <v>377</v>
      </c>
      <c r="D268" s="30" t="s">
        <v>377</v>
      </c>
      <c r="E268" s="30" t="s">
        <v>33</v>
      </c>
      <c r="F268" s="30" t="s">
        <v>398</v>
      </c>
      <c r="G268" s="74">
        <f t="shared" si="25"/>
        <v>1.28415</v>
      </c>
      <c r="H268" s="74"/>
      <c r="I268" s="74">
        <f>I269</f>
        <v>1.28415</v>
      </c>
    </row>
    <row r="269" spans="1:9" ht="83.25" customHeight="1">
      <c r="A269" s="37" t="s">
        <v>353</v>
      </c>
      <c r="B269" s="17" t="s">
        <v>177</v>
      </c>
      <c r="C269" s="30" t="s">
        <v>377</v>
      </c>
      <c r="D269" s="30" t="s">
        <v>377</v>
      </c>
      <c r="E269" s="30" t="s">
        <v>33</v>
      </c>
      <c r="F269" s="30" t="s">
        <v>154</v>
      </c>
      <c r="G269" s="74">
        <f t="shared" si="25"/>
        <v>1.28415</v>
      </c>
      <c r="H269" s="74"/>
      <c r="I269" s="74">
        <f>I270</f>
        <v>1.28415</v>
      </c>
    </row>
    <row r="270" spans="1:9" ht="27">
      <c r="A270" s="37" t="s">
        <v>187</v>
      </c>
      <c r="B270" s="17" t="s">
        <v>177</v>
      </c>
      <c r="C270" s="30" t="s">
        <v>377</v>
      </c>
      <c r="D270" s="30" t="s">
        <v>377</v>
      </c>
      <c r="E270" s="30" t="s">
        <v>33</v>
      </c>
      <c r="F270" s="30" t="s">
        <v>186</v>
      </c>
      <c r="G270" s="74">
        <f t="shared" si="25"/>
        <v>1.28415</v>
      </c>
      <c r="H270" s="74"/>
      <c r="I270" s="74">
        <v>1.28415</v>
      </c>
    </row>
    <row r="271" spans="1:9" ht="27" hidden="1">
      <c r="A271" s="37" t="s">
        <v>188</v>
      </c>
      <c r="B271" s="17" t="s">
        <v>177</v>
      </c>
      <c r="C271" s="30" t="s">
        <v>377</v>
      </c>
      <c r="D271" s="30" t="s">
        <v>377</v>
      </c>
      <c r="E271" s="30" t="s">
        <v>33</v>
      </c>
      <c r="F271" s="30" t="s">
        <v>158</v>
      </c>
      <c r="G271" s="74">
        <f t="shared" si="25"/>
        <v>0</v>
      </c>
      <c r="H271" s="74"/>
      <c r="I271" s="74">
        <f>I272</f>
        <v>0</v>
      </c>
    </row>
    <row r="272" spans="1:9" ht="41.25" hidden="1">
      <c r="A272" s="37" t="s">
        <v>189</v>
      </c>
      <c r="B272" s="17" t="s">
        <v>177</v>
      </c>
      <c r="C272" s="30" t="s">
        <v>377</v>
      </c>
      <c r="D272" s="30" t="s">
        <v>377</v>
      </c>
      <c r="E272" s="30" t="s">
        <v>33</v>
      </c>
      <c r="F272" s="30" t="s">
        <v>190</v>
      </c>
      <c r="G272" s="74">
        <f t="shared" si="25"/>
        <v>0</v>
      </c>
      <c r="H272" s="74"/>
      <c r="I272" s="74"/>
    </row>
    <row r="273" spans="1:9" ht="13.5">
      <c r="A273" s="321" t="s">
        <v>356</v>
      </c>
      <c r="B273" s="150">
        <v>951</v>
      </c>
      <c r="C273" s="150" t="s">
        <v>380</v>
      </c>
      <c r="D273" s="150" t="s">
        <v>150</v>
      </c>
      <c r="E273" s="150" t="s">
        <v>311</v>
      </c>
      <c r="F273" s="150" t="s">
        <v>398</v>
      </c>
      <c r="G273" s="107">
        <f>I273+H273</f>
        <v>21711.877</v>
      </c>
      <c r="H273" s="82">
        <f>H285+H308+H312+H319+H315</f>
        <v>19761.658</v>
      </c>
      <c r="I273" s="82">
        <f>I285+I308+I312+I319+I326</f>
        <v>1950.219</v>
      </c>
    </row>
    <row r="274" spans="1:9" ht="13.5" hidden="1">
      <c r="A274" s="87" t="s">
        <v>172</v>
      </c>
      <c r="B274" s="66">
        <v>951</v>
      </c>
      <c r="C274" s="20" t="s">
        <v>380</v>
      </c>
      <c r="D274" s="20" t="s">
        <v>151</v>
      </c>
      <c r="E274" s="66" t="s">
        <v>311</v>
      </c>
      <c r="F274" s="66" t="s">
        <v>398</v>
      </c>
      <c r="G274" s="95">
        <f>H274+I274</f>
        <v>0</v>
      </c>
      <c r="H274" s="95">
        <f>H275</f>
        <v>0</v>
      </c>
      <c r="I274" s="95">
        <f>I275</f>
        <v>0</v>
      </c>
    </row>
    <row r="275" spans="1:9" ht="27" hidden="1">
      <c r="A275" s="88" t="s">
        <v>281</v>
      </c>
      <c r="B275" s="66">
        <v>951</v>
      </c>
      <c r="C275" s="20" t="s">
        <v>380</v>
      </c>
      <c r="D275" s="20" t="s">
        <v>151</v>
      </c>
      <c r="E275" s="20" t="s">
        <v>61</v>
      </c>
      <c r="F275" s="20" t="s">
        <v>398</v>
      </c>
      <c r="G275" s="95">
        <f aca="true" t="shared" si="27" ref="G275:G300">H275+I275</f>
        <v>0</v>
      </c>
      <c r="H275" s="95">
        <f>H276+H279</f>
        <v>0</v>
      </c>
      <c r="I275" s="95">
        <f>I276+I279+I308</f>
        <v>0</v>
      </c>
    </row>
    <row r="276" spans="1:9" ht="27" hidden="1">
      <c r="A276" s="65" t="s">
        <v>214</v>
      </c>
      <c r="B276" s="66" t="s">
        <v>177</v>
      </c>
      <c r="C276" s="20" t="s">
        <v>380</v>
      </c>
      <c r="D276" s="20" t="s">
        <v>151</v>
      </c>
      <c r="E276" s="20" t="s">
        <v>62</v>
      </c>
      <c r="F276" s="20" t="s">
        <v>398</v>
      </c>
      <c r="G276" s="95">
        <f t="shared" si="27"/>
        <v>0</v>
      </c>
      <c r="H276" s="95">
        <f>H277</f>
        <v>0</v>
      </c>
      <c r="I276" s="95"/>
    </row>
    <row r="277" spans="1:9" ht="41.25" hidden="1">
      <c r="A277" s="65" t="s">
        <v>211</v>
      </c>
      <c r="B277" s="66" t="s">
        <v>177</v>
      </c>
      <c r="C277" s="20" t="s">
        <v>380</v>
      </c>
      <c r="D277" s="20" t="s">
        <v>151</v>
      </c>
      <c r="E277" s="20" t="s">
        <v>62</v>
      </c>
      <c r="F277" s="20" t="s">
        <v>212</v>
      </c>
      <c r="G277" s="95">
        <f t="shared" si="27"/>
        <v>0</v>
      </c>
      <c r="H277" s="95">
        <f>H278</f>
        <v>0</v>
      </c>
      <c r="I277" s="95"/>
    </row>
    <row r="278" spans="1:9" ht="13.5" hidden="1">
      <c r="A278" s="65" t="s">
        <v>213</v>
      </c>
      <c r="B278" s="66" t="s">
        <v>177</v>
      </c>
      <c r="C278" s="20" t="s">
        <v>380</v>
      </c>
      <c r="D278" s="20" t="s">
        <v>151</v>
      </c>
      <c r="E278" s="20" t="s">
        <v>65</v>
      </c>
      <c r="F278" s="20" t="s">
        <v>279</v>
      </c>
      <c r="G278" s="95">
        <f t="shared" si="27"/>
        <v>0</v>
      </c>
      <c r="H278" s="95"/>
      <c r="I278" s="95"/>
    </row>
    <row r="279" spans="1:9" ht="27" hidden="1">
      <c r="A279" s="65" t="s">
        <v>215</v>
      </c>
      <c r="B279" s="66" t="s">
        <v>177</v>
      </c>
      <c r="C279" s="20" t="s">
        <v>380</v>
      </c>
      <c r="D279" s="20" t="s">
        <v>151</v>
      </c>
      <c r="E279" s="20" t="s">
        <v>62</v>
      </c>
      <c r="F279" s="20" t="s">
        <v>398</v>
      </c>
      <c r="G279" s="95">
        <f t="shared" si="27"/>
        <v>0</v>
      </c>
      <c r="H279" s="95">
        <f>H280</f>
        <v>0</v>
      </c>
      <c r="I279" s="95"/>
    </row>
    <row r="280" spans="1:9" ht="41.25" hidden="1">
      <c r="A280" s="65" t="s">
        <v>211</v>
      </c>
      <c r="B280" s="66" t="s">
        <v>177</v>
      </c>
      <c r="C280" s="20" t="s">
        <v>380</v>
      </c>
      <c r="D280" s="20" t="s">
        <v>151</v>
      </c>
      <c r="E280" s="20" t="s">
        <v>62</v>
      </c>
      <c r="F280" s="20" t="s">
        <v>212</v>
      </c>
      <c r="G280" s="95">
        <f t="shared" si="27"/>
        <v>0</v>
      </c>
      <c r="H280" s="95">
        <f>H281</f>
        <v>0</v>
      </c>
      <c r="I280" s="95"/>
    </row>
    <row r="281" spans="1:9" ht="13.5" hidden="1">
      <c r="A281" s="65" t="s">
        <v>213</v>
      </c>
      <c r="B281" s="66">
        <v>951</v>
      </c>
      <c r="C281" s="20" t="s">
        <v>380</v>
      </c>
      <c r="D281" s="20" t="s">
        <v>151</v>
      </c>
      <c r="E281" s="20" t="s">
        <v>66</v>
      </c>
      <c r="F281" s="20" t="s">
        <v>279</v>
      </c>
      <c r="G281" s="95">
        <f t="shared" si="27"/>
        <v>0</v>
      </c>
      <c r="H281" s="95"/>
      <c r="I281" s="95"/>
    </row>
    <row r="282" spans="1:9" ht="41.25" hidden="1">
      <c r="A282" s="45" t="s">
        <v>466</v>
      </c>
      <c r="B282" s="66" t="s">
        <v>177</v>
      </c>
      <c r="C282" s="20" t="s">
        <v>380</v>
      </c>
      <c r="D282" s="20" t="s">
        <v>380</v>
      </c>
      <c r="E282" s="20" t="s">
        <v>450</v>
      </c>
      <c r="F282" s="20" t="s">
        <v>398</v>
      </c>
      <c r="G282" s="95">
        <f t="shared" si="27"/>
        <v>0</v>
      </c>
      <c r="H282" s="95">
        <f>H283</f>
        <v>0</v>
      </c>
      <c r="I282" s="95"/>
    </row>
    <row r="283" spans="1:9" ht="27" hidden="1">
      <c r="A283" s="14" t="s">
        <v>188</v>
      </c>
      <c r="B283" s="66" t="s">
        <v>177</v>
      </c>
      <c r="C283" s="20" t="s">
        <v>380</v>
      </c>
      <c r="D283" s="20" t="s">
        <v>380</v>
      </c>
      <c r="E283" s="20" t="s">
        <v>451</v>
      </c>
      <c r="F283" s="20" t="s">
        <v>158</v>
      </c>
      <c r="G283" s="95">
        <f t="shared" si="27"/>
        <v>0</v>
      </c>
      <c r="H283" s="95">
        <f>H284</f>
        <v>0</v>
      </c>
      <c r="I283" s="95"/>
    </row>
    <row r="284" spans="1:9" ht="41.25" hidden="1">
      <c r="A284" s="65" t="s">
        <v>189</v>
      </c>
      <c r="B284" s="66" t="s">
        <v>177</v>
      </c>
      <c r="C284" s="20" t="s">
        <v>380</v>
      </c>
      <c r="D284" s="20" t="s">
        <v>380</v>
      </c>
      <c r="E284" s="20" t="s">
        <v>451</v>
      </c>
      <c r="F284" s="20" t="s">
        <v>190</v>
      </c>
      <c r="G284" s="95">
        <f t="shared" si="27"/>
        <v>0</v>
      </c>
      <c r="H284" s="95">
        <v>0</v>
      </c>
      <c r="I284" s="95"/>
    </row>
    <row r="285" spans="1:9" ht="18.75" customHeight="1">
      <c r="A285" s="45" t="s">
        <v>558</v>
      </c>
      <c r="B285" s="63" t="s">
        <v>177</v>
      </c>
      <c r="C285" s="49" t="s">
        <v>380</v>
      </c>
      <c r="D285" s="49" t="s">
        <v>156</v>
      </c>
      <c r="E285" s="49" t="s">
        <v>311</v>
      </c>
      <c r="F285" s="49" t="s">
        <v>398</v>
      </c>
      <c r="G285" s="83">
        <f t="shared" si="27"/>
        <v>16663.87</v>
      </c>
      <c r="H285" s="83">
        <f>H286+H297+H301</f>
        <v>16663.87</v>
      </c>
      <c r="I285" s="83">
        <f>I286+I297+I301</f>
        <v>0</v>
      </c>
    </row>
    <row r="286" spans="1:9" ht="41.25">
      <c r="A286" s="45" t="s">
        <v>465</v>
      </c>
      <c r="B286" s="63" t="s">
        <v>177</v>
      </c>
      <c r="C286" s="49" t="s">
        <v>380</v>
      </c>
      <c r="D286" s="49" t="s">
        <v>156</v>
      </c>
      <c r="E286" s="49" t="s">
        <v>311</v>
      </c>
      <c r="F286" s="49" t="s">
        <v>398</v>
      </c>
      <c r="G286" s="83">
        <f t="shared" si="27"/>
        <v>16663.87</v>
      </c>
      <c r="H286" s="83">
        <f>H287</f>
        <v>16663.87</v>
      </c>
      <c r="I286" s="83"/>
    </row>
    <row r="287" spans="1:9" ht="57" customHeight="1">
      <c r="A287" s="88" t="s">
        <v>846</v>
      </c>
      <c r="B287" s="66" t="s">
        <v>177</v>
      </c>
      <c r="C287" s="20" t="s">
        <v>380</v>
      </c>
      <c r="D287" s="20" t="s">
        <v>156</v>
      </c>
      <c r="E287" s="20" t="s">
        <v>80</v>
      </c>
      <c r="F287" s="20" t="s">
        <v>398</v>
      </c>
      <c r="G287" s="74">
        <f t="shared" si="27"/>
        <v>16663.87</v>
      </c>
      <c r="H287" s="95">
        <f>H288+H291+H294</f>
        <v>16663.87</v>
      </c>
      <c r="I287" s="95"/>
    </row>
    <row r="288" spans="1:9" ht="27" hidden="1">
      <c r="A288" s="65" t="s">
        <v>780</v>
      </c>
      <c r="B288" s="66" t="s">
        <v>177</v>
      </c>
      <c r="C288" s="20" t="s">
        <v>380</v>
      </c>
      <c r="D288" s="20" t="s">
        <v>156</v>
      </c>
      <c r="E288" s="20" t="s">
        <v>80</v>
      </c>
      <c r="F288" s="20" t="s">
        <v>398</v>
      </c>
      <c r="G288" s="74">
        <f>H288</f>
        <v>0</v>
      </c>
      <c r="H288" s="95">
        <f>H289</f>
        <v>0</v>
      </c>
      <c r="I288" s="95"/>
    </row>
    <row r="289" spans="1:9" ht="41.25" hidden="1">
      <c r="A289" s="65" t="s">
        <v>211</v>
      </c>
      <c r="B289" s="66" t="s">
        <v>177</v>
      </c>
      <c r="C289" s="20" t="s">
        <v>380</v>
      </c>
      <c r="D289" s="20" t="s">
        <v>156</v>
      </c>
      <c r="E289" s="20" t="s">
        <v>80</v>
      </c>
      <c r="F289" s="20" t="s">
        <v>212</v>
      </c>
      <c r="G289" s="74">
        <f>H289</f>
        <v>0</v>
      </c>
      <c r="H289" s="95">
        <f>H290</f>
        <v>0</v>
      </c>
      <c r="I289" s="95"/>
    </row>
    <row r="290" spans="1:9" ht="13.5" hidden="1">
      <c r="A290" s="65" t="s">
        <v>213</v>
      </c>
      <c r="B290" s="66" t="s">
        <v>177</v>
      </c>
      <c r="C290" s="20" t="s">
        <v>380</v>
      </c>
      <c r="D290" s="20" t="s">
        <v>156</v>
      </c>
      <c r="E290" s="20" t="s">
        <v>80</v>
      </c>
      <c r="F290" s="20" t="s">
        <v>279</v>
      </c>
      <c r="G290" s="74">
        <f>H290</f>
        <v>0</v>
      </c>
      <c r="H290" s="95">
        <v>0</v>
      </c>
      <c r="I290" s="95"/>
    </row>
    <row r="291" spans="1:9" ht="27">
      <c r="A291" s="65" t="s">
        <v>214</v>
      </c>
      <c r="B291" s="66" t="s">
        <v>177</v>
      </c>
      <c r="C291" s="20" t="s">
        <v>380</v>
      </c>
      <c r="D291" s="20" t="s">
        <v>156</v>
      </c>
      <c r="E291" s="30" t="s">
        <v>847</v>
      </c>
      <c r="F291" s="20" t="s">
        <v>398</v>
      </c>
      <c r="G291" s="74">
        <f t="shared" si="27"/>
        <v>11011.815999999999</v>
      </c>
      <c r="H291" s="95">
        <f>H292</f>
        <v>11011.815999999999</v>
      </c>
      <c r="I291" s="95"/>
    </row>
    <row r="292" spans="1:9" ht="41.25">
      <c r="A292" s="65" t="s">
        <v>211</v>
      </c>
      <c r="B292" s="66" t="s">
        <v>177</v>
      </c>
      <c r="C292" s="20" t="s">
        <v>380</v>
      </c>
      <c r="D292" s="20" t="s">
        <v>156</v>
      </c>
      <c r="E292" s="30" t="s">
        <v>847</v>
      </c>
      <c r="F292" s="20" t="s">
        <v>212</v>
      </c>
      <c r="G292" s="74">
        <f t="shared" si="27"/>
        <v>11011.815999999999</v>
      </c>
      <c r="H292" s="95">
        <f>H293</f>
        <v>11011.815999999999</v>
      </c>
      <c r="I292" s="95"/>
    </row>
    <row r="293" spans="1:9" ht="13.5">
      <c r="A293" s="65" t="s">
        <v>213</v>
      </c>
      <c r="B293" s="66" t="s">
        <v>177</v>
      </c>
      <c r="C293" s="20" t="s">
        <v>380</v>
      </c>
      <c r="D293" s="20" t="s">
        <v>156</v>
      </c>
      <c r="E293" s="30" t="s">
        <v>847</v>
      </c>
      <c r="F293" s="20" t="s">
        <v>279</v>
      </c>
      <c r="G293" s="74">
        <f t="shared" si="27"/>
        <v>11011.815999999999</v>
      </c>
      <c r="H293" s="74">
        <f>9282.416+273.3+710+198.5+547.6</f>
        <v>11011.815999999999</v>
      </c>
      <c r="I293" s="95"/>
    </row>
    <row r="294" spans="1:9" ht="27">
      <c r="A294" s="65" t="s">
        <v>215</v>
      </c>
      <c r="B294" s="66" t="s">
        <v>177</v>
      </c>
      <c r="C294" s="20" t="s">
        <v>380</v>
      </c>
      <c r="D294" s="20" t="s">
        <v>156</v>
      </c>
      <c r="E294" s="30" t="s">
        <v>848</v>
      </c>
      <c r="F294" s="20" t="s">
        <v>398</v>
      </c>
      <c r="G294" s="74">
        <f t="shared" si="27"/>
        <v>5652.054</v>
      </c>
      <c r="H294" s="95">
        <f>H295</f>
        <v>5652.054</v>
      </c>
      <c r="I294" s="95"/>
    </row>
    <row r="295" spans="1:9" ht="41.25">
      <c r="A295" s="65" t="s">
        <v>211</v>
      </c>
      <c r="B295" s="66" t="s">
        <v>177</v>
      </c>
      <c r="C295" s="20" t="s">
        <v>380</v>
      </c>
      <c r="D295" s="20" t="s">
        <v>156</v>
      </c>
      <c r="E295" s="30" t="s">
        <v>848</v>
      </c>
      <c r="F295" s="20" t="s">
        <v>212</v>
      </c>
      <c r="G295" s="74">
        <f t="shared" si="27"/>
        <v>5652.054</v>
      </c>
      <c r="H295" s="95">
        <f>H296</f>
        <v>5652.054</v>
      </c>
      <c r="I295" s="95"/>
    </row>
    <row r="296" spans="1:9" ht="13.5">
      <c r="A296" s="65" t="s">
        <v>213</v>
      </c>
      <c r="B296" s="66" t="s">
        <v>177</v>
      </c>
      <c r="C296" s="20" t="s">
        <v>380</v>
      </c>
      <c r="D296" s="20" t="s">
        <v>156</v>
      </c>
      <c r="E296" s="30" t="s">
        <v>848</v>
      </c>
      <c r="F296" s="20" t="s">
        <v>279</v>
      </c>
      <c r="G296" s="74">
        <f t="shared" si="27"/>
        <v>5652.054</v>
      </c>
      <c r="H296" s="74">
        <f>4030.554+196.5+305+1120</f>
        <v>5652.054</v>
      </c>
      <c r="I296" s="95"/>
    </row>
    <row r="297" spans="1:9" ht="14.25" hidden="1">
      <c r="A297" s="110" t="s">
        <v>550</v>
      </c>
      <c r="B297" s="66" t="s">
        <v>177</v>
      </c>
      <c r="C297" s="20" t="s">
        <v>380</v>
      </c>
      <c r="D297" s="20" t="s">
        <v>156</v>
      </c>
      <c r="E297" s="62" t="s">
        <v>311</v>
      </c>
      <c r="F297" s="62" t="s">
        <v>398</v>
      </c>
      <c r="G297" s="74">
        <f t="shared" si="27"/>
        <v>0</v>
      </c>
      <c r="H297" s="77">
        <f>H298</f>
        <v>0</v>
      </c>
      <c r="I297" s="77"/>
    </row>
    <row r="298" spans="1:9" ht="27" hidden="1">
      <c r="A298" s="65" t="s">
        <v>559</v>
      </c>
      <c r="B298" s="66" t="s">
        <v>177</v>
      </c>
      <c r="C298" s="20" t="s">
        <v>380</v>
      </c>
      <c r="D298" s="20" t="s">
        <v>156</v>
      </c>
      <c r="E298" s="30" t="s">
        <v>311</v>
      </c>
      <c r="F298" s="30" t="s">
        <v>398</v>
      </c>
      <c r="G298" s="74">
        <f t="shared" si="27"/>
        <v>0</v>
      </c>
      <c r="H298" s="74">
        <f>H299</f>
        <v>0</v>
      </c>
      <c r="I298" s="74"/>
    </row>
    <row r="299" spans="1:9" ht="41.25" hidden="1">
      <c r="A299" s="65" t="s">
        <v>211</v>
      </c>
      <c r="B299" s="66" t="s">
        <v>177</v>
      </c>
      <c r="C299" s="20" t="s">
        <v>380</v>
      </c>
      <c r="D299" s="20" t="s">
        <v>156</v>
      </c>
      <c r="E299" s="30" t="s">
        <v>552</v>
      </c>
      <c r="F299" s="30" t="s">
        <v>212</v>
      </c>
      <c r="G299" s="74">
        <f t="shared" si="27"/>
        <v>0</v>
      </c>
      <c r="H299" s="74">
        <f>H300</f>
        <v>0</v>
      </c>
      <c r="I299" s="74"/>
    </row>
    <row r="300" spans="1:9" ht="13.5" hidden="1">
      <c r="A300" s="65" t="s">
        <v>213</v>
      </c>
      <c r="B300" s="66" t="s">
        <v>177</v>
      </c>
      <c r="C300" s="20" t="s">
        <v>380</v>
      </c>
      <c r="D300" s="20" t="s">
        <v>156</v>
      </c>
      <c r="E300" s="30" t="s">
        <v>552</v>
      </c>
      <c r="F300" s="30" t="s">
        <v>279</v>
      </c>
      <c r="G300" s="74">
        <f t="shared" si="27"/>
        <v>0</v>
      </c>
      <c r="H300" s="74"/>
      <c r="I300" s="74"/>
    </row>
    <row r="301" spans="1:9" ht="41.25" hidden="1">
      <c r="A301" s="45" t="s">
        <v>465</v>
      </c>
      <c r="B301" s="66" t="s">
        <v>177</v>
      </c>
      <c r="C301" s="20" t="s">
        <v>380</v>
      </c>
      <c r="D301" s="20" t="s">
        <v>156</v>
      </c>
      <c r="E301" s="49" t="s">
        <v>311</v>
      </c>
      <c r="F301" s="49" t="s">
        <v>398</v>
      </c>
      <c r="G301" s="83">
        <f>G302</f>
        <v>0</v>
      </c>
      <c r="H301" s="83">
        <f>H302</f>
        <v>0</v>
      </c>
      <c r="I301" s="83">
        <f>I302</f>
        <v>0</v>
      </c>
    </row>
    <row r="302" spans="1:9" ht="72.75" customHeight="1" hidden="1">
      <c r="A302" s="110" t="s">
        <v>579</v>
      </c>
      <c r="B302" s="76" t="s">
        <v>177</v>
      </c>
      <c r="C302" s="62" t="s">
        <v>380</v>
      </c>
      <c r="D302" s="62" t="s">
        <v>156</v>
      </c>
      <c r="E302" s="62" t="s">
        <v>311</v>
      </c>
      <c r="F302" s="62" t="s">
        <v>398</v>
      </c>
      <c r="G302" s="77">
        <f>H302+I302</f>
        <v>0</v>
      </c>
      <c r="H302" s="77">
        <f>H303+H305</f>
        <v>0</v>
      </c>
      <c r="I302" s="77">
        <f>I303</f>
        <v>0</v>
      </c>
    </row>
    <row r="303" spans="1:9" ht="69" hidden="1">
      <c r="A303" s="14" t="s">
        <v>620</v>
      </c>
      <c r="B303" s="17" t="s">
        <v>177</v>
      </c>
      <c r="C303" s="30" t="s">
        <v>380</v>
      </c>
      <c r="D303" s="30" t="s">
        <v>156</v>
      </c>
      <c r="E303" s="30" t="s">
        <v>685</v>
      </c>
      <c r="F303" s="30" t="s">
        <v>212</v>
      </c>
      <c r="G303" s="74">
        <f>G304</f>
        <v>0</v>
      </c>
      <c r="H303" s="74">
        <f>H304</f>
        <v>0</v>
      </c>
      <c r="I303" s="74">
        <f>I304</f>
        <v>0</v>
      </c>
    </row>
    <row r="304" spans="1:9" ht="13.5" hidden="1">
      <c r="A304" s="14" t="s">
        <v>213</v>
      </c>
      <c r="B304" s="17" t="s">
        <v>177</v>
      </c>
      <c r="C304" s="30" t="s">
        <v>380</v>
      </c>
      <c r="D304" s="30" t="s">
        <v>156</v>
      </c>
      <c r="E304" s="30" t="s">
        <v>685</v>
      </c>
      <c r="F304" s="30" t="s">
        <v>279</v>
      </c>
      <c r="G304" s="74">
        <f>H304+I304</f>
        <v>0</v>
      </c>
      <c r="H304" s="74"/>
      <c r="I304" s="74">
        <v>0</v>
      </c>
    </row>
    <row r="305" spans="1:9" ht="96.75" hidden="1">
      <c r="A305" s="14" t="s">
        <v>621</v>
      </c>
      <c r="B305" s="17" t="s">
        <v>177</v>
      </c>
      <c r="C305" s="30" t="s">
        <v>380</v>
      </c>
      <c r="D305" s="30" t="s">
        <v>156</v>
      </c>
      <c r="E305" s="30" t="s">
        <v>686</v>
      </c>
      <c r="F305" s="30" t="s">
        <v>212</v>
      </c>
      <c r="G305" s="74">
        <f>G306</f>
        <v>0</v>
      </c>
      <c r="H305" s="74">
        <f>H306</f>
        <v>0</v>
      </c>
      <c r="I305" s="74">
        <f>I306</f>
        <v>0</v>
      </c>
    </row>
    <row r="306" spans="1:9" ht="13.5" hidden="1">
      <c r="A306" s="14" t="s">
        <v>213</v>
      </c>
      <c r="B306" s="17" t="s">
        <v>177</v>
      </c>
      <c r="C306" s="30" t="s">
        <v>380</v>
      </c>
      <c r="D306" s="30" t="s">
        <v>156</v>
      </c>
      <c r="E306" s="30" t="s">
        <v>686</v>
      </c>
      <c r="F306" s="30" t="s">
        <v>279</v>
      </c>
      <c r="G306" s="74">
        <f>H306+I306</f>
        <v>0</v>
      </c>
      <c r="H306" s="74">
        <v>0</v>
      </c>
      <c r="I306" s="74">
        <v>0</v>
      </c>
    </row>
    <row r="307" spans="1:9" ht="22.5" customHeight="1" hidden="1">
      <c r="A307" s="14"/>
      <c r="B307" s="17"/>
      <c r="C307" s="30"/>
      <c r="D307" s="30"/>
      <c r="E307" s="30"/>
      <c r="F307" s="30"/>
      <c r="G307" s="74"/>
      <c r="H307" s="74"/>
      <c r="I307" s="74"/>
    </row>
    <row r="308" spans="1:9" ht="41.25">
      <c r="A308" s="89" t="s">
        <v>452</v>
      </c>
      <c r="B308" s="148">
        <v>951</v>
      </c>
      <c r="C308" s="149" t="s">
        <v>380</v>
      </c>
      <c r="D308" s="149" t="s">
        <v>365</v>
      </c>
      <c r="E308" s="49" t="s">
        <v>35</v>
      </c>
      <c r="F308" s="149" t="s">
        <v>398</v>
      </c>
      <c r="G308" s="106">
        <f aca="true" t="shared" si="28" ref="G308:G317">H308+I308</f>
        <v>111</v>
      </c>
      <c r="H308" s="106">
        <f>H309</f>
        <v>111</v>
      </c>
      <c r="I308" s="106">
        <f aca="true" t="shared" si="29" ref="H308:I310">I309</f>
        <v>0</v>
      </c>
    </row>
    <row r="309" spans="1:9" ht="34.5" customHeight="1">
      <c r="A309" s="90" t="s">
        <v>445</v>
      </c>
      <c r="B309" s="66">
        <v>951</v>
      </c>
      <c r="C309" s="20" t="s">
        <v>380</v>
      </c>
      <c r="D309" s="20" t="s">
        <v>365</v>
      </c>
      <c r="E309" s="20" t="s">
        <v>36</v>
      </c>
      <c r="F309" s="20" t="s">
        <v>398</v>
      </c>
      <c r="G309" s="95">
        <f t="shared" si="28"/>
        <v>111</v>
      </c>
      <c r="H309" s="95">
        <f t="shared" si="29"/>
        <v>111</v>
      </c>
      <c r="I309" s="95">
        <f t="shared" si="29"/>
        <v>0</v>
      </c>
    </row>
    <row r="310" spans="1:9" ht="27">
      <c r="A310" s="65" t="s">
        <v>188</v>
      </c>
      <c r="B310" s="66">
        <v>951</v>
      </c>
      <c r="C310" s="20" t="s">
        <v>380</v>
      </c>
      <c r="D310" s="20" t="s">
        <v>365</v>
      </c>
      <c r="E310" s="20" t="s">
        <v>39</v>
      </c>
      <c r="F310" s="20" t="s">
        <v>158</v>
      </c>
      <c r="G310" s="95">
        <f t="shared" si="28"/>
        <v>111</v>
      </c>
      <c r="H310" s="95">
        <f t="shared" si="29"/>
        <v>111</v>
      </c>
      <c r="I310" s="95">
        <f t="shared" si="29"/>
        <v>0</v>
      </c>
    </row>
    <row r="311" spans="1:9" ht="41.25">
      <c r="A311" s="67" t="s">
        <v>189</v>
      </c>
      <c r="B311" s="66">
        <v>951</v>
      </c>
      <c r="C311" s="20" t="s">
        <v>380</v>
      </c>
      <c r="D311" s="20" t="s">
        <v>365</v>
      </c>
      <c r="E311" s="20" t="s">
        <v>39</v>
      </c>
      <c r="F311" s="20" t="s">
        <v>190</v>
      </c>
      <c r="G311" s="95">
        <f t="shared" si="28"/>
        <v>111</v>
      </c>
      <c r="H311" s="95">
        <v>111</v>
      </c>
      <c r="I311" s="95"/>
    </row>
    <row r="312" spans="1:9" ht="41.25" hidden="1">
      <c r="A312" s="45" t="s">
        <v>277</v>
      </c>
      <c r="B312" s="66">
        <v>951</v>
      </c>
      <c r="C312" s="20" t="s">
        <v>380</v>
      </c>
      <c r="D312" s="20" t="s">
        <v>365</v>
      </c>
      <c r="E312" s="49" t="s">
        <v>45</v>
      </c>
      <c r="F312" s="20" t="s">
        <v>398</v>
      </c>
      <c r="G312" s="95">
        <f t="shared" si="28"/>
        <v>0</v>
      </c>
      <c r="H312" s="95">
        <f>H313</f>
        <v>0</v>
      </c>
      <c r="I312" s="95"/>
    </row>
    <row r="313" spans="1:9" ht="27" hidden="1">
      <c r="A313" s="65" t="s">
        <v>188</v>
      </c>
      <c r="B313" s="66">
        <v>951</v>
      </c>
      <c r="C313" s="20" t="s">
        <v>380</v>
      </c>
      <c r="D313" s="20" t="s">
        <v>365</v>
      </c>
      <c r="E313" s="30" t="s">
        <v>507</v>
      </c>
      <c r="F313" s="20" t="s">
        <v>158</v>
      </c>
      <c r="G313" s="95">
        <f t="shared" si="28"/>
        <v>0</v>
      </c>
      <c r="H313" s="95">
        <f>H314</f>
        <v>0</v>
      </c>
      <c r="I313" s="95"/>
    </row>
    <row r="314" spans="1:9" ht="41.25" hidden="1">
      <c r="A314" s="67" t="s">
        <v>189</v>
      </c>
      <c r="B314" s="66">
        <v>951</v>
      </c>
      <c r="C314" s="20" t="s">
        <v>380</v>
      </c>
      <c r="D314" s="20" t="s">
        <v>365</v>
      </c>
      <c r="E314" s="30" t="s">
        <v>507</v>
      </c>
      <c r="F314" s="20" t="s">
        <v>190</v>
      </c>
      <c r="G314" s="95">
        <f t="shared" si="28"/>
        <v>0</v>
      </c>
      <c r="H314" s="95">
        <v>0</v>
      </c>
      <c r="I314" s="95"/>
    </row>
    <row r="315" spans="1:9" s="92" customFormat="1" ht="27">
      <c r="A315" s="45" t="s">
        <v>905</v>
      </c>
      <c r="B315" s="63">
        <v>951</v>
      </c>
      <c r="C315" s="49" t="s">
        <v>380</v>
      </c>
      <c r="D315" s="49" t="s">
        <v>365</v>
      </c>
      <c r="E315" s="49" t="s">
        <v>852</v>
      </c>
      <c r="F315" s="49" t="s">
        <v>398</v>
      </c>
      <c r="G315" s="83">
        <f t="shared" si="28"/>
        <v>40</v>
      </c>
      <c r="H315" s="83">
        <f>H316</f>
        <v>40</v>
      </c>
      <c r="I315" s="83">
        <f>I316</f>
        <v>0</v>
      </c>
    </row>
    <row r="316" spans="1:9" ht="27">
      <c r="A316" s="14" t="s">
        <v>188</v>
      </c>
      <c r="B316" s="63">
        <v>951</v>
      </c>
      <c r="C316" s="20" t="s">
        <v>380</v>
      </c>
      <c r="D316" s="20" t="s">
        <v>365</v>
      </c>
      <c r="E316" s="30" t="s">
        <v>851</v>
      </c>
      <c r="F316" s="30" t="s">
        <v>158</v>
      </c>
      <c r="G316" s="74">
        <f t="shared" si="28"/>
        <v>40</v>
      </c>
      <c r="H316" s="74">
        <f>H317</f>
        <v>40</v>
      </c>
      <c r="I316" s="74">
        <f>I317</f>
        <v>0</v>
      </c>
    </row>
    <row r="317" spans="1:9" ht="41.25">
      <c r="A317" s="37" t="s">
        <v>189</v>
      </c>
      <c r="B317" s="63">
        <v>951</v>
      </c>
      <c r="C317" s="20" t="s">
        <v>380</v>
      </c>
      <c r="D317" s="20" t="s">
        <v>365</v>
      </c>
      <c r="E317" s="30" t="s">
        <v>854</v>
      </c>
      <c r="F317" s="30" t="s">
        <v>190</v>
      </c>
      <c r="G317" s="74">
        <f t="shared" si="28"/>
        <v>40</v>
      </c>
      <c r="H317" s="74">
        <v>40</v>
      </c>
      <c r="I317" s="74"/>
    </row>
    <row r="318" spans="1:9" ht="13.5" hidden="1">
      <c r="A318" s="67"/>
      <c r="B318" s="66"/>
      <c r="C318" s="20"/>
      <c r="D318" s="20"/>
      <c r="E318" s="30"/>
      <c r="F318" s="20"/>
      <c r="G318" s="95"/>
      <c r="H318" s="95"/>
      <c r="I318" s="95"/>
    </row>
    <row r="319" spans="1:9" ht="27">
      <c r="A319" s="87" t="s">
        <v>152</v>
      </c>
      <c r="B319" s="66">
        <v>951</v>
      </c>
      <c r="C319" s="20" t="s">
        <v>380</v>
      </c>
      <c r="D319" s="20" t="s">
        <v>365</v>
      </c>
      <c r="E319" s="20" t="s">
        <v>17</v>
      </c>
      <c r="F319" s="20" t="s">
        <v>398</v>
      </c>
      <c r="G319" s="95">
        <f aca="true" t="shared" si="30" ref="G319:G342">H319+I319</f>
        <v>2946.788</v>
      </c>
      <c r="H319" s="95">
        <f>H320</f>
        <v>2946.788</v>
      </c>
      <c r="I319" s="95">
        <f>I320</f>
        <v>0</v>
      </c>
    </row>
    <row r="320" spans="1:9" ht="42.75" customHeight="1">
      <c r="A320" s="65" t="s">
        <v>153</v>
      </c>
      <c r="B320" s="66">
        <v>951</v>
      </c>
      <c r="C320" s="20" t="s">
        <v>380</v>
      </c>
      <c r="D320" s="20" t="s">
        <v>365</v>
      </c>
      <c r="E320" s="20" t="s">
        <v>18</v>
      </c>
      <c r="F320" s="20" t="s">
        <v>398</v>
      </c>
      <c r="G320" s="95">
        <f t="shared" si="30"/>
        <v>2946.788</v>
      </c>
      <c r="H320" s="95">
        <f>H321</f>
        <v>2946.788</v>
      </c>
      <c r="I320" s="95">
        <f>I321</f>
        <v>0</v>
      </c>
    </row>
    <row r="321" spans="1:11" ht="41.25">
      <c r="A321" s="65" t="s">
        <v>157</v>
      </c>
      <c r="B321" s="66">
        <v>951</v>
      </c>
      <c r="C321" s="20" t="s">
        <v>380</v>
      </c>
      <c r="D321" s="20" t="s">
        <v>365</v>
      </c>
      <c r="E321" s="20" t="s">
        <v>21</v>
      </c>
      <c r="F321" s="20" t="s">
        <v>398</v>
      </c>
      <c r="G321" s="95">
        <f t="shared" si="30"/>
        <v>2946.788</v>
      </c>
      <c r="H321" s="95">
        <f>H322+H324</f>
        <v>2946.788</v>
      </c>
      <c r="I321" s="95">
        <f>I322+I324</f>
        <v>0</v>
      </c>
      <c r="K321" s="73"/>
    </row>
    <row r="322" spans="1:9" ht="81.75" customHeight="1">
      <c r="A322" s="65" t="s">
        <v>185</v>
      </c>
      <c r="B322" s="66">
        <v>951</v>
      </c>
      <c r="C322" s="20" t="s">
        <v>380</v>
      </c>
      <c r="D322" s="20" t="s">
        <v>365</v>
      </c>
      <c r="E322" s="20" t="s">
        <v>21</v>
      </c>
      <c r="F322" s="20" t="s">
        <v>154</v>
      </c>
      <c r="G322" s="95">
        <f t="shared" si="30"/>
        <v>2837.6845</v>
      </c>
      <c r="H322" s="95">
        <f>H323</f>
        <v>2837.6845</v>
      </c>
      <c r="I322" s="95">
        <f>I323</f>
        <v>0</v>
      </c>
    </row>
    <row r="323" spans="1:10" ht="27">
      <c r="A323" s="65" t="s">
        <v>187</v>
      </c>
      <c r="B323" s="66">
        <v>951</v>
      </c>
      <c r="C323" s="20" t="s">
        <v>380</v>
      </c>
      <c r="D323" s="20" t="s">
        <v>365</v>
      </c>
      <c r="E323" s="20" t="s">
        <v>21</v>
      </c>
      <c r="F323" s="20" t="s">
        <v>186</v>
      </c>
      <c r="G323" s="95">
        <f t="shared" si="30"/>
        <v>2837.6845</v>
      </c>
      <c r="H323" s="95">
        <f>2645.7+64+799-35.6155+33.1+10-13.5-500-150-15</f>
        <v>2837.6845</v>
      </c>
      <c r="I323" s="95"/>
      <c r="J323" s="73"/>
    </row>
    <row r="324" spans="1:9" ht="27">
      <c r="A324" s="65" t="s">
        <v>188</v>
      </c>
      <c r="B324" s="66">
        <v>951</v>
      </c>
      <c r="C324" s="20" t="s">
        <v>380</v>
      </c>
      <c r="D324" s="20" t="s">
        <v>365</v>
      </c>
      <c r="E324" s="20" t="s">
        <v>21</v>
      </c>
      <c r="F324" s="20" t="s">
        <v>158</v>
      </c>
      <c r="G324" s="95">
        <f t="shared" si="30"/>
        <v>109.1035</v>
      </c>
      <c r="H324" s="95">
        <f>H325</f>
        <v>109.1035</v>
      </c>
      <c r="I324" s="95">
        <f>I325</f>
        <v>0</v>
      </c>
    </row>
    <row r="325" spans="1:9" ht="41.25">
      <c r="A325" s="67" t="s">
        <v>189</v>
      </c>
      <c r="B325" s="66">
        <v>951</v>
      </c>
      <c r="C325" s="20" t="s">
        <v>380</v>
      </c>
      <c r="D325" s="20" t="s">
        <v>365</v>
      </c>
      <c r="E325" s="20" t="s">
        <v>21</v>
      </c>
      <c r="F325" s="20" t="s">
        <v>190</v>
      </c>
      <c r="G325" s="95">
        <f t="shared" si="30"/>
        <v>109.1035</v>
      </c>
      <c r="H325" s="95">
        <f>73.488+35.6155</f>
        <v>109.1035</v>
      </c>
      <c r="I325" s="95"/>
    </row>
    <row r="326" spans="1:11" ht="70.5" customHeight="1">
      <c r="A326" s="14" t="s">
        <v>646</v>
      </c>
      <c r="B326" s="17">
        <v>951</v>
      </c>
      <c r="C326" s="30" t="s">
        <v>380</v>
      </c>
      <c r="D326" s="30" t="s">
        <v>365</v>
      </c>
      <c r="E326" s="30" t="s">
        <v>654</v>
      </c>
      <c r="F326" s="30" t="s">
        <v>398</v>
      </c>
      <c r="G326" s="74">
        <f t="shared" si="30"/>
        <v>1950.219</v>
      </c>
      <c r="H326" s="74">
        <f>H327+H329</f>
        <v>0</v>
      </c>
      <c r="I326" s="74">
        <f>I327+I329</f>
        <v>1950.219</v>
      </c>
      <c r="K326" s="73"/>
    </row>
    <row r="327" spans="1:9" ht="78" customHeight="1">
      <c r="A327" s="14" t="s">
        <v>185</v>
      </c>
      <c r="B327" s="17">
        <v>951</v>
      </c>
      <c r="C327" s="30" t="s">
        <v>380</v>
      </c>
      <c r="D327" s="30" t="s">
        <v>365</v>
      </c>
      <c r="E327" s="30" t="s">
        <v>654</v>
      </c>
      <c r="F327" s="30" t="s">
        <v>154</v>
      </c>
      <c r="G327" s="74">
        <f t="shared" si="30"/>
        <v>1402.84427</v>
      </c>
      <c r="H327" s="74">
        <f>H328</f>
        <v>0</v>
      </c>
      <c r="I327" s="74">
        <f>I328</f>
        <v>1402.84427</v>
      </c>
    </row>
    <row r="328" spans="1:9" ht="27">
      <c r="A328" s="37" t="s">
        <v>187</v>
      </c>
      <c r="B328" s="17">
        <v>951</v>
      </c>
      <c r="C328" s="30" t="s">
        <v>380</v>
      </c>
      <c r="D328" s="30" t="s">
        <v>365</v>
      </c>
      <c r="E328" s="30" t="s">
        <v>654</v>
      </c>
      <c r="F328" s="30" t="s">
        <v>186</v>
      </c>
      <c r="G328" s="74">
        <f t="shared" si="30"/>
        <v>1402.84427</v>
      </c>
      <c r="H328" s="74"/>
      <c r="I328" s="74">
        <f>1364.541+38.30327</f>
        <v>1402.84427</v>
      </c>
    </row>
    <row r="329" spans="1:9" ht="27">
      <c r="A329" s="14" t="s">
        <v>188</v>
      </c>
      <c r="B329" s="17">
        <v>951</v>
      </c>
      <c r="C329" s="30" t="s">
        <v>380</v>
      </c>
      <c r="D329" s="30" t="s">
        <v>365</v>
      </c>
      <c r="E329" s="30" t="s">
        <v>654</v>
      </c>
      <c r="F329" s="30" t="s">
        <v>158</v>
      </c>
      <c r="G329" s="74">
        <f t="shared" si="30"/>
        <v>547.37473</v>
      </c>
      <c r="H329" s="74">
        <f>H330</f>
        <v>0</v>
      </c>
      <c r="I329" s="74">
        <f>I330</f>
        <v>547.37473</v>
      </c>
    </row>
    <row r="330" spans="1:9" ht="41.25">
      <c r="A330" s="37" t="s">
        <v>189</v>
      </c>
      <c r="B330" s="17">
        <v>951</v>
      </c>
      <c r="C330" s="30" t="s">
        <v>380</v>
      </c>
      <c r="D330" s="30" t="s">
        <v>365</v>
      </c>
      <c r="E330" s="30" t="s">
        <v>654</v>
      </c>
      <c r="F330" s="30" t="s">
        <v>190</v>
      </c>
      <c r="G330" s="74">
        <f t="shared" si="30"/>
        <v>547.37473</v>
      </c>
      <c r="H330" s="74"/>
      <c r="I330" s="74">
        <f>585.678-38.30327</f>
        <v>547.37473</v>
      </c>
    </row>
    <row r="331" spans="1:9" ht="13.5">
      <c r="A331" s="91" t="s">
        <v>184</v>
      </c>
      <c r="B331" s="150">
        <v>951</v>
      </c>
      <c r="C331" s="69" t="s">
        <v>368</v>
      </c>
      <c r="D331" s="69" t="s">
        <v>150</v>
      </c>
      <c r="E331" s="69" t="s">
        <v>311</v>
      </c>
      <c r="F331" s="69" t="s">
        <v>398</v>
      </c>
      <c r="G331" s="107">
        <f t="shared" si="30"/>
        <v>23516.636420000003</v>
      </c>
      <c r="H331" s="107">
        <f>H332+H385</f>
        <v>17954.30526</v>
      </c>
      <c r="I331" s="107">
        <f>I332+I385</f>
        <v>5562.33116</v>
      </c>
    </row>
    <row r="332" spans="1:9" ht="17.25" customHeight="1">
      <c r="A332" s="43" t="s">
        <v>431</v>
      </c>
      <c r="B332" s="17">
        <v>951</v>
      </c>
      <c r="C332" s="30" t="s">
        <v>368</v>
      </c>
      <c r="D332" s="30" t="s">
        <v>149</v>
      </c>
      <c r="E332" s="30" t="s">
        <v>311</v>
      </c>
      <c r="F332" s="30" t="s">
        <v>398</v>
      </c>
      <c r="G332" s="74">
        <f t="shared" si="30"/>
        <v>21753.35142</v>
      </c>
      <c r="H332" s="74">
        <f>H333+H382</f>
        <v>16191.020260000001</v>
      </c>
      <c r="I332" s="74">
        <f>I333+I382</f>
        <v>5562.33116</v>
      </c>
    </row>
    <row r="333" spans="1:9" ht="41.25" customHeight="1">
      <c r="A333" s="45" t="s">
        <v>465</v>
      </c>
      <c r="B333" s="63">
        <v>951</v>
      </c>
      <c r="C333" s="49" t="s">
        <v>368</v>
      </c>
      <c r="D333" s="49" t="s">
        <v>149</v>
      </c>
      <c r="E333" s="49" t="s">
        <v>104</v>
      </c>
      <c r="F333" s="49" t="s">
        <v>398</v>
      </c>
      <c r="G333" s="83">
        <f t="shared" si="30"/>
        <v>21753.35142</v>
      </c>
      <c r="H333" s="83">
        <f>H334+H339+H368+H372+H379+H360+H346+H353</f>
        <v>16191.020260000001</v>
      </c>
      <c r="I333" s="83">
        <f>I334+I339+I368+I372+I379+I360+I346+I353</f>
        <v>5562.33116</v>
      </c>
    </row>
    <row r="334" spans="1:9" ht="62.25" customHeight="1">
      <c r="A334" s="70" t="s">
        <v>512</v>
      </c>
      <c r="B334" s="17">
        <v>951</v>
      </c>
      <c r="C334" s="30" t="s">
        <v>368</v>
      </c>
      <c r="D334" s="30" t="s">
        <v>149</v>
      </c>
      <c r="E334" s="30" t="s">
        <v>81</v>
      </c>
      <c r="F334" s="30" t="s">
        <v>398</v>
      </c>
      <c r="G334" s="74">
        <f t="shared" si="30"/>
        <v>10241.373870000001</v>
      </c>
      <c r="H334" s="74">
        <f>H335+H337</f>
        <v>10241.373870000001</v>
      </c>
      <c r="I334" s="74">
        <f>I335</f>
        <v>0</v>
      </c>
    </row>
    <row r="335" spans="1:9" ht="41.25">
      <c r="A335" s="14" t="s">
        <v>211</v>
      </c>
      <c r="B335" s="17">
        <v>951</v>
      </c>
      <c r="C335" s="30" t="s">
        <v>368</v>
      </c>
      <c r="D335" s="30" t="s">
        <v>149</v>
      </c>
      <c r="E335" s="30" t="s">
        <v>82</v>
      </c>
      <c r="F335" s="30" t="s">
        <v>212</v>
      </c>
      <c r="G335" s="74">
        <f t="shared" si="30"/>
        <v>9161.930960000002</v>
      </c>
      <c r="H335" s="74">
        <f>H336</f>
        <v>9161.930960000002</v>
      </c>
      <c r="I335" s="74"/>
    </row>
    <row r="336" spans="1:9" ht="13.5">
      <c r="A336" s="14" t="s">
        <v>213</v>
      </c>
      <c r="B336" s="17">
        <v>951</v>
      </c>
      <c r="C336" s="30" t="s">
        <v>368</v>
      </c>
      <c r="D336" s="30" t="s">
        <v>149</v>
      </c>
      <c r="E336" s="30" t="s">
        <v>83</v>
      </c>
      <c r="F336" s="30" t="s">
        <v>279</v>
      </c>
      <c r="G336" s="74">
        <f t="shared" si="30"/>
        <v>9161.930960000002</v>
      </c>
      <c r="H336" s="74">
        <f>8843.134-30.30303-0.00001+372+184.2-654.1+447</f>
        <v>9161.930960000002</v>
      </c>
      <c r="I336" s="74"/>
    </row>
    <row r="337" spans="1:9" ht="99" customHeight="1">
      <c r="A337" s="14" t="s">
        <v>102</v>
      </c>
      <c r="B337" s="17">
        <v>951</v>
      </c>
      <c r="C337" s="30" t="s">
        <v>368</v>
      </c>
      <c r="D337" s="30" t="s">
        <v>149</v>
      </c>
      <c r="E337" s="30" t="s">
        <v>101</v>
      </c>
      <c r="F337" s="30" t="s">
        <v>212</v>
      </c>
      <c r="G337" s="74">
        <f t="shared" si="30"/>
        <v>1079.44291</v>
      </c>
      <c r="H337" s="74">
        <f>H338</f>
        <v>1079.44291</v>
      </c>
      <c r="I337" s="74"/>
    </row>
    <row r="338" spans="1:9" ht="16.5" customHeight="1">
      <c r="A338" s="14" t="s">
        <v>213</v>
      </c>
      <c r="B338" s="17">
        <v>951</v>
      </c>
      <c r="C338" s="30" t="s">
        <v>368</v>
      </c>
      <c r="D338" s="30" t="s">
        <v>149</v>
      </c>
      <c r="E338" s="30" t="s">
        <v>101</v>
      </c>
      <c r="F338" s="30" t="s">
        <v>279</v>
      </c>
      <c r="G338" s="74">
        <f t="shared" si="30"/>
        <v>1079.44291</v>
      </c>
      <c r="H338" s="74">
        <f>226.8+622.155+130+53.4+5.88791+41.2</f>
        <v>1079.44291</v>
      </c>
      <c r="I338" s="74"/>
    </row>
    <row r="339" spans="1:9" ht="62.25" customHeight="1" hidden="1">
      <c r="A339" s="68" t="s">
        <v>560</v>
      </c>
      <c r="B339" s="17">
        <v>952</v>
      </c>
      <c r="C339" s="30" t="s">
        <v>368</v>
      </c>
      <c r="D339" s="30" t="s">
        <v>149</v>
      </c>
      <c r="E339" s="69" t="s">
        <v>81</v>
      </c>
      <c r="F339" s="69" t="s">
        <v>398</v>
      </c>
      <c r="G339" s="82">
        <f t="shared" si="30"/>
        <v>0</v>
      </c>
      <c r="H339" s="82">
        <f>H340+H343+H366</f>
        <v>0</v>
      </c>
      <c r="I339" s="82">
        <f>I340+I343+I366</f>
        <v>0</v>
      </c>
    </row>
    <row r="340" spans="1:9" ht="69" customHeight="1" hidden="1">
      <c r="A340" s="45" t="s">
        <v>561</v>
      </c>
      <c r="B340" s="17">
        <v>953</v>
      </c>
      <c r="C340" s="30" t="s">
        <v>368</v>
      </c>
      <c r="D340" s="30" t="s">
        <v>149</v>
      </c>
      <c r="E340" s="49" t="s">
        <v>562</v>
      </c>
      <c r="F340" s="49" t="s">
        <v>398</v>
      </c>
      <c r="G340" s="83">
        <f t="shared" si="30"/>
        <v>0</v>
      </c>
      <c r="H340" s="83">
        <f>H341</f>
        <v>0</v>
      </c>
      <c r="I340" s="83">
        <f>I341</f>
        <v>0</v>
      </c>
    </row>
    <row r="341" spans="1:9" ht="48" customHeight="1" hidden="1">
      <c r="A341" s="14" t="s">
        <v>211</v>
      </c>
      <c r="B341" s="17">
        <v>954</v>
      </c>
      <c r="C341" s="30" t="s">
        <v>368</v>
      </c>
      <c r="D341" s="30" t="s">
        <v>149</v>
      </c>
      <c r="E341" s="30" t="s">
        <v>562</v>
      </c>
      <c r="F341" s="30" t="s">
        <v>212</v>
      </c>
      <c r="G341" s="74">
        <f t="shared" si="30"/>
        <v>0</v>
      </c>
      <c r="H341" s="74">
        <f>H342</f>
        <v>0</v>
      </c>
      <c r="I341" s="74">
        <f>I342</f>
        <v>0</v>
      </c>
    </row>
    <row r="342" spans="1:9" ht="20.25" customHeight="1" hidden="1">
      <c r="A342" s="14" t="s">
        <v>213</v>
      </c>
      <c r="B342" s="17">
        <v>955</v>
      </c>
      <c r="C342" s="30" t="s">
        <v>368</v>
      </c>
      <c r="D342" s="30" t="s">
        <v>149</v>
      </c>
      <c r="E342" s="30" t="s">
        <v>562</v>
      </c>
      <c r="F342" s="30" t="s">
        <v>279</v>
      </c>
      <c r="G342" s="74">
        <f t="shared" si="30"/>
        <v>0</v>
      </c>
      <c r="H342" s="74"/>
      <c r="I342" s="74"/>
    </row>
    <row r="343" spans="1:9" ht="119.25" customHeight="1" hidden="1">
      <c r="A343" s="45" t="s">
        <v>590</v>
      </c>
      <c r="B343" s="17">
        <v>956</v>
      </c>
      <c r="C343" s="30" t="s">
        <v>368</v>
      </c>
      <c r="D343" s="30" t="s">
        <v>149</v>
      </c>
      <c r="E343" s="49" t="s">
        <v>563</v>
      </c>
      <c r="F343" s="49" t="s">
        <v>398</v>
      </c>
      <c r="G343" s="83">
        <f>H343</f>
        <v>0</v>
      </c>
      <c r="H343" s="83">
        <f>H344</f>
        <v>0</v>
      </c>
      <c r="I343" s="83"/>
    </row>
    <row r="344" spans="1:9" ht="48" customHeight="1" hidden="1">
      <c r="A344" s="14" t="s">
        <v>211</v>
      </c>
      <c r="B344" s="17">
        <v>957</v>
      </c>
      <c r="C344" s="30" t="s">
        <v>368</v>
      </c>
      <c r="D344" s="30" t="s">
        <v>149</v>
      </c>
      <c r="E344" s="30" t="s">
        <v>563</v>
      </c>
      <c r="F344" s="30" t="s">
        <v>212</v>
      </c>
      <c r="G344" s="74">
        <f>H344</f>
        <v>0</v>
      </c>
      <c r="H344" s="74">
        <f>H345</f>
        <v>0</v>
      </c>
      <c r="I344" s="74"/>
    </row>
    <row r="345" spans="1:9" ht="15.75" customHeight="1" hidden="1">
      <c r="A345" s="14" t="s">
        <v>213</v>
      </c>
      <c r="B345" s="17">
        <v>958</v>
      </c>
      <c r="C345" s="30" t="s">
        <v>368</v>
      </c>
      <c r="D345" s="30" t="s">
        <v>149</v>
      </c>
      <c r="E345" s="30" t="s">
        <v>563</v>
      </c>
      <c r="F345" s="30" t="s">
        <v>279</v>
      </c>
      <c r="G345" s="74">
        <f>H345</f>
        <v>0</v>
      </c>
      <c r="H345" s="74">
        <v>0</v>
      </c>
      <c r="I345" s="74"/>
    </row>
    <row r="346" spans="1:9" ht="45.75" customHeight="1">
      <c r="A346" s="68" t="s">
        <v>920</v>
      </c>
      <c r="B346" s="75">
        <v>951</v>
      </c>
      <c r="C346" s="69" t="s">
        <v>368</v>
      </c>
      <c r="D346" s="69" t="s">
        <v>149</v>
      </c>
      <c r="E346" s="69" t="s">
        <v>81</v>
      </c>
      <c r="F346" s="69" t="s">
        <v>398</v>
      </c>
      <c r="G346" s="82">
        <f aca="true" t="shared" si="31" ref="G346:G364">H346+I346</f>
        <v>3016.8768</v>
      </c>
      <c r="H346" s="82">
        <f>H350</f>
        <v>30.16877</v>
      </c>
      <c r="I346" s="82">
        <f>I347</f>
        <v>2986.70803</v>
      </c>
    </row>
    <row r="347" spans="1:9" ht="60" customHeight="1">
      <c r="A347" s="14" t="s">
        <v>917</v>
      </c>
      <c r="B347" s="17">
        <v>951</v>
      </c>
      <c r="C347" s="30" t="s">
        <v>368</v>
      </c>
      <c r="D347" s="30" t="s">
        <v>149</v>
      </c>
      <c r="E347" s="30" t="s">
        <v>919</v>
      </c>
      <c r="F347" s="30" t="s">
        <v>398</v>
      </c>
      <c r="G347" s="74">
        <f t="shared" si="31"/>
        <v>2986.70803</v>
      </c>
      <c r="H347" s="74">
        <v>0</v>
      </c>
      <c r="I347" s="74">
        <f>I348</f>
        <v>2986.70803</v>
      </c>
    </row>
    <row r="348" spans="1:9" ht="46.5" customHeight="1">
      <c r="A348" s="14" t="s">
        <v>211</v>
      </c>
      <c r="B348" s="17">
        <v>951</v>
      </c>
      <c r="C348" s="30" t="s">
        <v>368</v>
      </c>
      <c r="D348" s="30" t="s">
        <v>149</v>
      </c>
      <c r="E348" s="30" t="s">
        <v>919</v>
      </c>
      <c r="F348" s="30" t="s">
        <v>212</v>
      </c>
      <c r="G348" s="74">
        <f t="shared" si="31"/>
        <v>2986.70803</v>
      </c>
      <c r="H348" s="74">
        <v>0</v>
      </c>
      <c r="I348" s="74">
        <f>I349</f>
        <v>2986.70803</v>
      </c>
    </row>
    <row r="349" spans="1:9" ht="18" customHeight="1">
      <c r="A349" s="14" t="s">
        <v>213</v>
      </c>
      <c r="B349" s="17">
        <v>951</v>
      </c>
      <c r="C349" s="30" t="s">
        <v>368</v>
      </c>
      <c r="D349" s="30" t="s">
        <v>149</v>
      </c>
      <c r="E349" s="30" t="s">
        <v>919</v>
      </c>
      <c r="F349" s="30" t="s">
        <v>279</v>
      </c>
      <c r="G349" s="74">
        <f t="shared" si="31"/>
        <v>2986.70803</v>
      </c>
      <c r="H349" s="74">
        <v>0</v>
      </c>
      <c r="I349" s="74">
        <f>3000-13.29197</f>
        <v>2986.70803</v>
      </c>
    </row>
    <row r="350" spans="1:9" ht="72" customHeight="1">
      <c r="A350" s="14" t="s">
        <v>918</v>
      </c>
      <c r="B350" s="17">
        <v>951</v>
      </c>
      <c r="C350" s="30" t="s">
        <v>368</v>
      </c>
      <c r="D350" s="30" t="s">
        <v>149</v>
      </c>
      <c r="E350" s="30" t="s">
        <v>960</v>
      </c>
      <c r="F350" s="30" t="s">
        <v>398</v>
      </c>
      <c r="G350" s="74">
        <f t="shared" si="31"/>
        <v>30.16877</v>
      </c>
      <c r="H350" s="74">
        <f>H351</f>
        <v>30.16877</v>
      </c>
      <c r="I350" s="74">
        <v>0</v>
      </c>
    </row>
    <row r="351" spans="1:9" ht="48" customHeight="1">
      <c r="A351" s="14" t="s">
        <v>211</v>
      </c>
      <c r="B351" s="17">
        <v>951</v>
      </c>
      <c r="C351" s="30" t="s">
        <v>368</v>
      </c>
      <c r="D351" s="30" t="s">
        <v>149</v>
      </c>
      <c r="E351" s="30" t="s">
        <v>960</v>
      </c>
      <c r="F351" s="30" t="s">
        <v>212</v>
      </c>
      <c r="G351" s="74">
        <f t="shared" si="31"/>
        <v>30.16877</v>
      </c>
      <c r="H351" s="74">
        <f>H352</f>
        <v>30.16877</v>
      </c>
      <c r="I351" s="74">
        <v>0</v>
      </c>
    </row>
    <row r="352" spans="1:9" ht="15.75" customHeight="1">
      <c r="A352" s="14" t="s">
        <v>213</v>
      </c>
      <c r="B352" s="17">
        <v>951</v>
      </c>
      <c r="C352" s="30" t="s">
        <v>368</v>
      </c>
      <c r="D352" s="30" t="s">
        <v>149</v>
      </c>
      <c r="E352" s="30" t="s">
        <v>960</v>
      </c>
      <c r="F352" s="30" t="s">
        <v>279</v>
      </c>
      <c r="G352" s="74">
        <f t="shared" si="31"/>
        <v>30.16877</v>
      </c>
      <c r="H352" s="74">
        <f>30.30303-0.13426</f>
        <v>30.16877</v>
      </c>
      <c r="I352" s="74">
        <v>0</v>
      </c>
    </row>
    <row r="353" spans="1:9" ht="61.5" customHeight="1">
      <c r="A353" s="64" t="s">
        <v>931</v>
      </c>
      <c r="B353" s="17" t="s">
        <v>177</v>
      </c>
      <c r="C353" s="62" t="s">
        <v>368</v>
      </c>
      <c r="D353" s="62" t="s">
        <v>149</v>
      </c>
      <c r="E353" s="62" t="s">
        <v>933</v>
      </c>
      <c r="F353" s="62" t="s">
        <v>398</v>
      </c>
      <c r="G353" s="77">
        <f>H353+I353</f>
        <v>102.06142999999999</v>
      </c>
      <c r="H353" s="77">
        <f>H357</f>
        <v>0.02062</v>
      </c>
      <c r="I353" s="77">
        <f>I354</f>
        <v>102.04081</v>
      </c>
    </row>
    <row r="354" spans="1:9" ht="87" customHeight="1">
      <c r="A354" s="14" t="s">
        <v>937</v>
      </c>
      <c r="B354" s="17" t="s">
        <v>177</v>
      </c>
      <c r="C354" s="30" t="s">
        <v>368</v>
      </c>
      <c r="D354" s="30" t="s">
        <v>149</v>
      </c>
      <c r="E354" s="30" t="s">
        <v>939</v>
      </c>
      <c r="F354" s="30" t="s">
        <v>398</v>
      </c>
      <c r="G354" s="74">
        <f>H354+I354</f>
        <v>102.04081</v>
      </c>
      <c r="H354" s="74"/>
      <c r="I354" s="74">
        <f>I355</f>
        <v>102.04081</v>
      </c>
    </row>
    <row r="355" spans="1:9" ht="42.75" customHeight="1">
      <c r="A355" s="14" t="s">
        <v>211</v>
      </c>
      <c r="B355" s="17" t="s">
        <v>177</v>
      </c>
      <c r="C355" s="30" t="s">
        <v>368</v>
      </c>
      <c r="D355" s="30" t="s">
        <v>149</v>
      </c>
      <c r="E355" s="30" t="s">
        <v>939</v>
      </c>
      <c r="F355" s="30" t="s">
        <v>212</v>
      </c>
      <c r="G355" s="74">
        <f>H355+I355</f>
        <v>102.04081</v>
      </c>
      <c r="H355" s="74"/>
      <c r="I355" s="74">
        <f>I356</f>
        <v>102.04081</v>
      </c>
    </row>
    <row r="356" spans="1:9" ht="18" customHeight="1">
      <c r="A356" s="14" t="s">
        <v>213</v>
      </c>
      <c r="B356" s="17" t="s">
        <v>177</v>
      </c>
      <c r="C356" s="30" t="s">
        <v>368</v>
      </c>
      <c r="D356" s="30" t="s">
        <v>149</v>
      </c>
      <c r="E356" s="30" t="s">
        <v>939</v>
      </c>
      <c r="F356" s="30" t="s">
        <v>279</v>
      </c>
      <c r="G356" s="74">
        <f>H356+I356</f>
        <v>102.04081</v>
      </c>
      <c r="H356" s="74"/>
      <c r="I356" s="74">
        <v>102.04081</v>
      </c>
    </row>
    <row r="357" spans="1:9" ht="100.5" customHeight="1">
      <c r="A357" s="14" t="s">
        <v>932</v>
      </c>
      <c r="B357" s="17" t="s">
        <v>177</v>
      </c>
      <c r="C357" s="30" t="s">
        <v>368</v>
      </c>
      <c r="D357" s="30" t="s">
        <v>149</v>
      </c>
      <c r="E357" s="30" t="s">
        <v>939</v>
      </c>
      <c r="F357" s="30" t="s">
        <v>398</v>
      </c>
      <c r="G357" s="74">
        <f>H357</f>
        <v>0.02062</v>
      </c>
      <c r="H357" s="74">
        <f>H358</f>
        <v>0.02062</v>
      </c>
      <c r="I357" s="74"/>
    </row>
    <row r="358" spans="1:9" ht="45.75" customHeight="1">
      <c r="A358" s="14" t="s">
        <v>211</v>
      </c>
      <c r="B358" s="17" t="s">
        <v>177</v>
      </c>
      <c r="C358" s="30" t="s">
        <v>368</v>
      </c>
      <c r="D358" s="30" t="s">
        <v>149</v>
      </c>
      <c r="E358" s="30" t="s">
        <v>939</v>
      </c>
      <c r="F358" s="30" t="s">
        <v>212</v>
      </c>
      <c r="G358" s="74">
        <f>H358</f>
        <v>0.02062</v>
      </c>
      <c r="H358" s="74">
        <f>H359</f>
        <v>0.02062</v>
      </c>
      <c r="I358" s="74"/>
    </row>
    <row r="359" spans="1:9" ht="20.25" customHeight="1">
      <c r="A359" s="14" t="s">
        <v>213</v>
      </c>
      <c r="B359" s="17" t="s">
        <v>177</v>
      </c>
      <c r="C359" s="30" t="s">
        <v>368</v>
      </c>
      <c r="D359" s="30" t="s">
        <v>149</v>
      </c>
      <c r="E359" s="30" t="s">
        <v>939</v>
      </c>
      <c r="F359" s="30" t="s">
        <v>279</v>
      </c>
      <c r="G359" s="74">
        <f>H359</f>
        <v>0.02062</v>
      </c>
      <c r="H359" s="74">
        <f>0.02061+0.00001</f>
        <v>0.02062</v>
      </c>
      <c r="I359" s="74"/>
    </row>
    <row r="360" spans="1:9" ht="45.75" customHeight="1">
      <c r="A360" s="68" t="s">
        <v>840</v>
      </c>
      <c r="B360" s="75" t="s">
        <v>177</v>
      </c>
      <c r="C360" s="69" t="s">
        <v>368</v>
      </c>
      <c r="D360" s="69" t="s">
        <v>149</v>
      </c>
      <c r="E360" s="69" t="s">
        <v>81</v>
      </c>
      <c r="F360" s="69" t="s">
        <v>398</v>
      </c>
      <c r="G360" s="82">
        <f t="shared" si="31"/>
        <v>2498.58232</v>
      </c>
      <c r="H360" s="82">
        <f>H361+H363</f>
        <v>25</v>
      </c>
      <c r="I360" s="82">
        <f>I361</f>
        <v>2473.58232</v>
      </c>
    </row>
    <row r="361" spans="1:9" ht="74.25" customHeight="1">
      <c r="A361" s="45" t="s">
        <v>839</v>
      </c>
      <c r="B361" s="63" t="s">
        <v>177</v>
      </c>
      <c r="C361" s="49" t="s">
        <v>368</v>
      </c>
      <c r="D361" s="49" t="s">
        <v>149</v>
      </c>
      <c r="E361" s="49" t="s">
        <v>808</v>
      </c>
      <c r="F361" s="49" t="s">
        <v>212</v>
      </c>
      <c r="G361" s="74">
        <f t="shared" si="31"/>
        <v>2473.58232</v>
      </c>
      <c r="H361" s="83">
        <f>H362</f>
        <v>0</v>
      </c>
      <c r="I361" s="83">
        <f>I362</f>
        <v>2473.58232</v>
      </c>
    </row>
    <row r="362" spans="1:11" ht="15.75" customHeight="1">
      <c r="A362" s="14" t="s">
        <v>213</v>
      </c>
      <c r="B362" s="63" t="s">
        <v>177</v>
      </c>
      <c r="C362" s="49" t="s">
        <v>368</v>
      </c>
      <c r="D362" s="49" t="s">
        <v>149</v>
      </c>
      <c r="E362" s="49" t="s">
        <v>808</v>
      </c>
      <c r="F362" s="30" t="s">
        <v>279</v>
      </c>
      <c r="G362" s="74">
        <f t="shared" si="31"/>
        <v>2473.58232</v>
      </c>
      <c r="H362" s="74">
        <v>0</v>
      </c>
      <c r="I362" s="74">
        <v>2473.58232</v>
      </c>
      <c r="K362" s="73"/>
    </row>
    <row r="363" spans="1:9" ht="88.5" customHeight="1">
      <c r="A363" s="45" t="s">
        <v>807</v>
      </c>
      <c r="B363" s="63" t="s">
        <v>177</v>
      </c>
      <c r="C363" s="49" t="s">
        <v>368</v>
      </c>
      <c r="D363" s="49" t="s">
        <v>149</v>
      </c>
      <c r="E363" s="49" t="s">
        <v>809</v>
      </c>
      <c r="F363" s="49" t="s">
        <v>212</v>
      </c>
      <c r="G363" s="83">
        <f t="shared" si="31"/>
        <v>25</v>
      </c>
      <c r="H363" s="83">
        <f>H364</f>
        <v>25</v>
      </c>
      <c r="I363" s="83">
        <f>I364</f>
        <v>0</v>
      </c>
    </row>
    <row r="364" spans="1:9" ht="15.75" customHeight="1">
      <c r="A364" s="14" t="s">
        <v>213</v>
      </c>
      <c r="B364" s="63" t="s">
        <v>177</v>
      </c>
      <c r="C364" s="49" t="s">
        <v>368</v>
      </c>
      <c r="D364" s="49" t="s">
        <v>149</v>
      </c>
      <c r="E364" s="30" t="s">
        <v>841</v>
      </c>
      <c r="F364" s="30" t="s">
        <v>279</v>
      </c>
      <c r="G364" s="74">
        <f t="shared" si="31"/>
        <v>25</v>
      </c>
      <c r="H364" s="74">
        <v>25</v>
      </c>
      <c r="I364" s="74">
        <v>0</v>
      </c>
    </row>
    <row r="365" spans="1:9" ht="15.75" customHeight="1" hidden="1">
      <c r="A365" s="14"/>
      <c r="B365" s="17"/>
      <c r="C365" s="30"/>
      <c r="D365" s="30"/>
      <c r="E365" s="30"/>
      <c r="F365" s="30"/>
      <c r="G365" s="74"/>
      <c r="H365" s="74"/>
      <c r="I365" s="74"/>
    </row>
    <row r="366" spans="1:9" ht="89.25" customHeight="1" hidden="1">
      <c r="A366" s="14" t="s">
        <v>720</v>
      </c>
      <c r="B366" s="17">
        <v>951</v>
      </c>
      <c r="C366" s="30" t="s">
        <v>368</v>
      </c>
      <c r="D366" s="30" t="s">
        <v>149</v>
      </c>
      <c r="E366" s="30" t="s">
        <v>743</v>
      </c>
      <c r="F366" s="30" t="s">
        <v>398</v>
      </c>
      <c r="G366" s="74">
        <f>H366</f>
        <v>0</v>
      </c>
      <c r="H366" s="74">
        <f>H367</f>
        <v>0</v>
      </c>
      <c r="I366" s="74"/>
    </row>
    <row r="367" spans="1:9" ht="15.75" customHeight="1" hidden="1">
      <c r="A367" s="14" t="s">
        <v>213</v>
      </c>
      <c r="B367" s="17">
        <v>951</v>
      </c>
      <c r="C367" s="30" t="s">
        <v>368</v>
      </c>
      <c r="D367" s="30" t="s">
        <v>149</v>
      </c>
      <c r="E367" s="30" t="s">
        <v>743</v>
      </c>
      <c r="F367" s="30" t="s">
        <v>279</v>
      </c>
      <c r="G367" s="74">
        <f>H367</f>
        <v>0</v>
      </c>
      <c r="H367" s="74">
        <f>25-25</f>
        <v>0</v>
      </c>
      <c r="I367" s="74"/>
    </row>
    <row r="368" spans="1:9" ht="63" customHeight="1">
      <c r="A368" s="70" t="s">
        <v>513</v>
      </c>
      <c r="B368" s="17">
        <v>951</v>
      </c>
      <c r="C368" s="30" t="s">
        <v>368</v>
      </c>
      <c r="D368" s="30" t="s">
        <v>149</v>
      </c>
      <c r="E368" s="30" t="s">
        <v>84</v>
      </c>
      <c r="F368" s="30" t="s">
        <v>398</v>
      </c>
      <c r="G368" s="74">
        <f>H368+I368</f>
        <v>3829.87</v>
      </c>
      <c r="H368" s="74">
        <f>H369</f>
        <v>3829.87</v>
      </c>
      <c r="I368" s="74">
        <f>I369</f>
        <v>0</v>
      </c>
    </row>
    <row r="369" spans="1:9" ht="41.25">
      <c r="A369" s="14" t="s">
        <v>211</v>
      </c>
      <c r="B369" s="17">
        <v>951</v>
      </c>
      <c r="C369" s="30" t="s">
        <v>368</v>
      </c>
      <c r="D369" s="30" t="s">
        <v>149</v>
      </c>
      <c r="E369" s="30" t="s">
        <v>84</v>
      </c>
      <c r="F369" s="30" t="s">
        <v>398</v>
      </c>
      <c r="G369" s="74">
        <f>H369+I369</f>
        <v>3829.87</v>
      </c>
      <c r="H369" s="74">
        <f>H370</f>
        <v>3829.87</v>
      </c>
      <c r="I369" s="74">
        <f>I370+I371</f>
        <v>0</v>
      </c>
    </row>
    <row r="370" spans="1:9" ht="27">
      <c r="A370" s="14" t="s">
        <v>218</v>
      </c>
      <c r="B370" s="17">
        <v>951</v>
      </c>
      <c r="C370" s="30" t="s">
        <v>368</v>
      </c>
      <c r="D370" s="30" t="s">
        <v>149</v>
      </c>
      <c r="E370" s="30" t="s">
        <v>84</v>
      </c>
      <c r="F370" s="30" t="s">
        <v>212</v>
      </c>
      <c r="G370" s="74">
        <f>H370+I370</f>
        <v>3829.87</v>
      </c>
      <c r="H370" s="74">
        <f>H371</f>
        <v>3829.87</v>
      </c>
      <c r="I370" s="74"/>
    </row>
    <row r="371" spans="1:9" ht="16.5" customHeight="1">
      <c r="A371" s="14" t="s">
        <v>213</v>
      </c>
      <c r="B371" s="17">
        <v>951</v>
      </c>
      <c r="C371" s="30" t="s">
        <v>368</v>
      </c>
      <c r="D371" s="30" t="s">
        <v>149</v>
      </c>
      <c r="E371" s="30" t="s">
        <v>84</v>
      </c>
      <c r="F371" s="30" t="s">
        <v>279</v>
      </c>
      <c r="G371" s="74">
        <f>H371+I371</f>
        <v>3829.87</v>
      </c>
      <c r="H371" s="74">
        <f>2946.87+126.7+306.5+449.8</f>
        <v>3829.87</v>
      </c>
      <c r="I371" s="74"/>
    </row>
    <row r="372" spans="1:9" ht="63" customHeight="1" hidden="1">
      <c r="A372" s="68" t="s">
        <v>564</v>
      </c>
      <c r="B372" s="17">
        <v>951</v>
      </c>
      <c r="C372" s="69" t="s">
        <v>368</v>
      </c>
      <c r="D372" s="69" t="s">
        <v>149</v>
      </c>
      <c r="E372" s="69" t="s">
        <v>565</v>
      </c>
      <c r="F372" s="69" t="s">
        <v>398</v>
      </c>
      <c r="G372" s="82">
        <f>H372+I372</f>
        <v>0</v>
      </c>
      <c r="H372" s="82">
        <f>H376</f>
        <v>0</v>
      </c>
      <c r="I372" s="82">
        <f>I373</f>
        <v>0</v>
      </c>
    </row>
    <row r="373" spans="1:9" ht="69" customHeight="1" hidden="1">
      <c r="A373" s="45" t="s">
        <v>591</v>
      </c>
      <c r="B373" s="17">
        <v>951</v>
      </c>
      <c r="C373" s="49" t="s">
        <v>368</v>
      </c>
      <c r="D373" s="49" t="s">
        <v>149</v>
      </c>
      <c r="E373" s="49" t="s">
        <v>566</v>
      </c>
      <c r="F373" s="49" t="s">
        <v>398</v>
      </c>
      <c r="G373" s="83">
        <f>I373</f>
        <v>0</v>
      </c>
      <c r="H373" s="83"/>
      <c r="I373" s="83">
        <f>I374</f>
        <v>0</v>
      </c>
    </row>
    <row r="374" spans="1:9" ht="48.75" customHeight="1" hidden="1">
      <c r="A374" s="14" t="s">
        <v>211</v>
      </c>
      <c r="B374" s="17">
        <v>951</v>
      </c>
      <c r="C374" s="30" t="s">
        <v>368</v>
      </c>
      <c r="D374" s="30" t="s">
        <v>149</v>
      </c>
      <c r="E374" s="30" t="s">
        <v>566</v>
      </c>
      <c r="F374" s="30" t="s">
        <v>212</v>
      </c>
      <c r="G374" s="74">
        <f>I374</f>
        <v>0</v>
      </c>
      <c r="H374" s="74"/>
      <c r="I374" s="74">
        <f>I375</f>
        <v>0</v>
      </c>
    </row>
    <row r="375" spans="1:9" ht="20.25" customHeight="1" hidden="1">
      <c r="A375" s="14" t="s">
        <v>213</v>
      </c>
      <c r="B375" s="17">
        <v>951</v>
      </c>
      <c r="C375" s="30" t="s">
        <v>368</v>
      </c>
      <c r="D375" s="30" t="s">
        <v>149</v>
      </c>
      <c r="E375" s="30" t="s">
        <v>566</v>
      </c>
      <c r="F375" s="30" t="s">
        <v>279</v>
      </c>
      <c r="G375" s="74">
        <f>I375</f>
        <v>0</v>
      </c>
      <c r="H375" s="74"/>
      <c r="I375" s="74"/>
    </row>
    <row r="376" spans="1:9" ht="97.5" customHeight="1" hidden="1">
      <c r="A376" s="45" t="s">
        <v>592</v>
      </c>
      <c r="B376" s="17">
        <v>951</v>
      </c>
      <c r="C376" s="49" t="s">
        <v>368</v>
      </c>
      <c r="D376" s="49" t="s">
        <v>149</v>
      </c>
      <c r="E376" s="49" t="s">
        <v>567</v>
      </c>
      <c r="F376" s="49" t="s">
        <v>398</v>
      </c>
      <c r="G376" s="83">
        <f>H376</f>
        <v>0</v>
      </c>
      <c r="H376" s="83">
        <f>H377</f>
        <v>0</v>
      </c>
      <c r="I376" s="83"/>
    </row>
    <row r="377" spans="1:9" ht="47.25" customHeight="1" hidden="1">
      <c r="A377" s="14" t="s">
        <v>211</v>
      </c>
      <c r="B377" s="17">
        <v>951</v>
      </c>
      <c r="C377" s="30" t="s">
        <v>368</v>
      </c>
      <c r="D377" s="30" t="s">
        <v>149</v>
      </c>
      <c r="E377" s="30" t="s">
        <v>567</v>
      </c>
      <c r="F377" s="30" t="s">
        <v>212</v>
      </c>
      <c r="G377" s="74">
        <f>H377</f>
        <v>0</v>
      </c>
      <c r="H377" s="74">
        <f>H378</f>
        <v>0</v>
      </c>
      <c r="I377" s="74"/>
    </row>
    <row r="378" spans="1:9" ht="18" customHeight="1" hidden="1">
      <c r="A378" s="14" t="s">
        <v>213</v>
      </c>
      <c r="B378" s="17">
        <v>951</v>
      </c>
      <c r="C378" s="30" t="s">
        <v>368</v>
      </c>
      <c r="D378" s="30" t="s">
        <v>149</v>
      </c>
      <c r="E378" s="30" t="s">
        <v>567</v>
      </c>
      <c r="F378" s="30" t="s">
        <v>279</v>
      </c>
      <c r="G378" s="74">
        <f>H378</f>
        <v>0</v>
      </c>
      <c r="H378" s="74"/>
      <c r="I378" s="74"/>
    </row>
    <row r="379" spans="1:9" ht="87" customHeight="1">
      <c r="A379" s="70" t="s">
        <v>514</v>
      </c>
      <c r="B379" s="17" t="s">
        <v>177</v>
      </c>
      <c r="C379" s="30" t="s">
        <v>368</v>
      </c>
      <c r="D379" s="30" t="s">
        <v>149</v>
      </c>
      <c r="E379" s="30" t="s">
        <v>85</v>
      </c>
      <c r="F379" s="30" t="s">
        <v>398</v>
      </c>
      <c r="G379" s="74">
        <f>H379+I379</f>
        <v>2064.587</v>
      </c>
      <c r="H379" s="74">
        <f>H380</f>
        <v>2064.587</v>
      </c>
      <c r="I379" s="74">
        <f>I380</f>
        <v>0</v>
      </c>
    </row>
    <row r="380" spans="1:9" ht="41.25">
      <c r="A380" s="14" t="s">
        <v>211</v>
      </c>
      <c r="B380" s="17" t="s">
        <v>177</v>
      </c>
      <c r="C380" s="30" t="s">
        <v>368</v>
      </c>
      <c r="D380" s="30" t="s">
        <v>149</v>
      </c>
      <c r="E380" s="30" t="s">
        <v>85</v>
      </c>
      <c r="F380" s="30" t="s">
        <v>212</v>
      </c>
      <c r="G380" s="74">
        <f aca="true" t="shared" si="32" ref="G380:G390">H380+I380</f>
        <v>2064.587</v>
      </c>
      <c r="H380" s="74">
        <f>H381</f>
        <v>2064.587</v>
      </c>
      <c r="I380" s="74">
        <f>I381</f>
        <v>0</v>
      </c>
    </row>
    <row r="381" spans="1:9" ht="13.5">
      <c r="A381" s="14" t="s">
        <v>213</v>
      </c>
      <c r="B381" s="17" t="s">
        <v>177</v>
      </c>
      <c r="C381" s="30" t="s">
        <v>368</v>
      </c>
      <c r="D381" s="30" t="s">
        <v>149</v>
      </c>
      <c r="E381" s="30" t="s">
        <v>85</v>
      </c>
      <c r="F381" s="30" t="s">
        <v>279</v>
      </c>
      <c r="G381" s="74">
        <f t="shared" si="32"/>
        <v>2064.587</v>
      </c>
      <c r="H381" s="74">
        <f>1659.887+71.2+93.7+239.8</f>
        <v>2064.587</v>
      </c>
      <c r="I381" s="74"/>
    </row>
    <row r="382" spans="1:9" ht="69" hidden="1">
      <c r="A382" s="14" t="s">
        <v>426</v>
      </c>
      <c r="B382" s="17" t="s">
        <v>177</v>
      </c>
      <c r="C382" s="30" t="s">
        <v>368</v>
      </c>
      <c r="D382" s="30" t="s">
        <v>149</v>
      </c>
      <c r="E382" s="30" t="s">
        <v>425</v>
      </c>
      <c r="F382" s="30" t="s">
        <v>398</v>
      </c>
      <c r="G382" s="74">
        <f t="shared" si="32"/>
        <v>0</v>
      </c>
      <c r="H382" s="74"/>
      <c r="I382" s="74">
        <f>I383</f>
        <v>0</v>
      </c>
    </row>
    <row r="383" spans="1:9" ht="41.25" hidden="1">
      <c r="A383" s="14" t="s">
        <v>211</v>
      </c>
      <c r="B383" s="17" t="s">
        <v>177</v>
      </c>
      <c r="C383" s="30" t="s">
        <v>368</v>
      </c>
      <c r="D383" s="30" t="s">
        <v>149</v>
      </c>
      <c r="E383" s="30" t="s">
        <v>425</v>
      </c>
      <c r="F383" s="30" t="s">
        <v>212</v>
      </c>
      <c r="G383" s="74">
        <f t="shared" si="32"/>
        <v>0</v>
      </c>
      <c r="H383" s="74"/>
      <c r="I383" s="74">
        <f>I384</f>
        <v>0</v>
      </c>
    </row>
    <row r="384" spans="1:9" ht="13.5" hidden="1">
      <c r="A384" s="14" t="s">
        <v>213</v>
      </c>
      <c r="B384" s="17" t="s">
        <v>177</v>
      </c>
      <c r="C384" s="30" t="s">
        <v>368</v>
      </c>
      <c r="D384" s="30" t="s">
        <v>149</v>
      </c>
      <c r="E384" s="30" t="s">
        <v>425</v>
      </c>
      <c r="F384" s="30" t="s">
        <v>279</v>
      </c>
      <c r="G384" s="74">
        <f t="shared" si="32"/>
        <v>0</v>
      </c>
      <c r="H384" s="74"/>
      <c r="I384" s="74"/>
    </row>
    <row r="385" spans="1:10" ht="27">
      <c r="A385" s="14" t="s">
        <v>14</v>
      </c>
      <c r="B385" s="17">
        <v>951</v>
      </c>
      <c r="C385" s="30" t="s">
        <v>368</v>
      </c>
      <c r="D385" s="30" t="s">
        <v>160</v>
      </c>
      <c r="E385" s="30" t="s">
        <v>311</v>
      </c>
      <c r="F385" s="30" t="s">
        <v>398</v>
      </c>
      <c r="G385" s="74">
        <f t="shared" si="32"/>
        <v>1763.285</v>
      </c>
      <c r="H385" s="74">
        <f>H386+H406+H408+H403+H411</f>
        <v>1763.285</v>
      </c>
      <c r="I385" s="74">
        <f>I386+I406+I408+I403+I411</f>
        <v>0</v>
      </c>
      <c r="J385" s="73"/>
    </row>
    <row r="386" spans="1:9" s="227" customFormat="1" ht="45" customHeight="1">
      <c r="A386" s="64" t="s">
        <v>457</v>
      </c>
      <c r="B386" s="76" t="s">
        <v>177</v>
      </c>
      <c r="C386" s="62" t="s">
        <v>368</v>
      </c>
      <c r="D386" s="62" t="s">
        <v>160</v>
      </c>
      <c r="E386" s="62" t="s">
        <v>813</v>
      </c>
      <c r="F386" s="62" t="s">
        <v>398</v>
      </c>
      <c r="G386" s="77">
        <f t="shared" si="32"/>
        <v>1700.285</v>
      </c>
      <c r="H386" s="77">
        <f>H387+H390+H397+H400</f>
        <v>1700.285</v>
      </c>
      <c r="I386" s="77">
        <f>I387+I390+I397+I400</f>
        <v>0</v>
      </c>
    </row>
    <row r="387" spans="1:9" ht="37.5" customHeight="1">
      <c r="A387" s="70" t="s">
        <v>515</v>
      </c>
      <c r="B387" s="17">
        <v>951</v>
      </c>
      <c r="C387" s="30" t="s">
        <v>368</v>
      </c>
      <c r="D387" s="30" t="s">
        <v>160</v>
      </c>
      <c r="E387" s="30" t="s">
        <v>86</v>
      </c>
      <c r="F387" s="30" t="s">
        <v>398</v>
      </c>
      <c r="G387" s="74">
        <f t="shared" si="32"/>
        <v>1700.285</v>
      </c>
      <c r="H387" s="74">
        <f>H388</f>
        <v>1700.285</v>
      </c>
      <c r="I387" s="74">
        <f>I388</f>
        <v>0</v>
      </c>
    </row>
    <row r="388" spans="1:9" ht="45.75" customHeight="1">
      <c r="A388" s="14" t="s">
        <v>211</v>
      </c>
      <c r="B388" s="17">
        <v>951</v>
      </c>
      <c r="C388" s="30" t="s">
        <v>368</v>
      </c>
      <c r="D388" s="30" t="s">
        <v>160</v>
      </c>
      <c r="E388" s="30" t="s">
        <v>86</v>
      </c>
      <c r="F388" s="30" t="s">
        <v>212</v>
      </c>
      <c r="G388" s="74">
        <f t="shared" si="32"/>
        <v>1700.285</v>
      </c>
      <c r="H388" s="74">
        <f>H389</f>
        <v>1700.285</v>
      </c>
      <c r="I388" s="74">
        <f>I389</f>
        <v>0</v>
      </c>
    </row>
    <row r="389" spans="1:9" ht="16.5" customHeight="1">
      <c r="A389" s="14" t="s">
        <v>213</v>
      </c>
      <c r="B389" s="17">
        <v>951</v>
      </c>
      <c r="C389" s="30" t="s">
        <v>368</v>
      </c>
      <c r="D389" s="30" t="s">
        <v>160</v>
      </c>
      <c r="E389" s="30" t="s">
        <v>86</v>
      </c>
      <c r="F389" s="30" t="s">
        <v>279</v>
      </c>
      <c r="G389" s="74">
        <f t="shared" si="32"/>
        <v>1700.285</v>
      </c>
      <c r="H389" s="74">
        <f>1134.785+71.5+253.9+240.1</f>
        <v>1700.285</v>
      </c>
      <c r="I389" s="74">
        <f>I397</f>
        <v>0</v>
      </c>
    </row>
    <row r="390" spans="1:9" ht="43.5" customHeight="1" hidden="1">
      <c r="A390" s="68" t="s">
        <v>805</v>
      </c>
      <c r="B390" s="75" t="s">
        <v>177</v>
      </c>
      <c r="C390" s="69" t="s">
        <v>368</v>
      </c>
      <c r="D390" s="69" t="s">
        <v>160</v>
      </c>
      <c r="E390" s="69" t="s">
        <v>81</v>
      </c>
      <c r="F390" s="69" t="s">
        <v>398</v>
      </c>
      <c r="G390" s="82">
        <f t="shared" si="32"/>
        <v>0</v>
      </c>
      <c r="H390" s="82">
        <f>H394</f>
        <v>0</v>
      </c>
      <c r="I390" s="82">
        <f>I391</f>
        <v>0</v>
      </c>
    </row>
    <row r="391" spans="1:9" ht="55.5" customHeight="1" hidden="1">
      <c r="A391" s="14" t="s">
        <v>806</v>
      </c>
      <c r="B391" s="17" t="s">
        <v>177</v>
      </c>
      <c r="C391" s="30" t="s">
        <v>368</v>
      </c>
      <c r="D391" s="30" t="s">
        <v>160</v>
      </c>
      <c r="E391" s="30" t="s">
        <v>808</v>
      </c>
      <c r="F391" s="30" t="s">
        <v>398</v>
      </c>
      <c r="G391" s="74">
        <f aca="true" t="shared" si="33" ref="G391:G402">H391+I391</f>
        <v>0</v>
      </c>
      <c r="H391" s="74"/>
      <c r="I391" s="74">
        <f>I392</f>
        <v>0</v>
      </c>
    </row>
    <row r="392" spans="1:9" ht="45" customHeight="1" hidden="1">
      <c r="A392" s="14" t="s">
        <v>211</v>
      </c>
      <c r="B392" s="17" t="s">
        <v>177</v>
      </c>
      <c r="C392" s="30" t="s">
        <v>368</v>
      </c>
      <c r="D392" s="30" t="s">
        <v>160</v>
      </c>
      <c r="E392" s="30" t="s">
        <v>808</v>
      </c>
      <c r="F392" s="30" t="s">
        <v>212</v>
      </c>
      <c r="G392" s="74">
        <f t="shared" si="33"/>
        <v>0</v>
      </c>
      <c r="H392" s="74"/>
      <c r="I392" s="74">
        <f>I393</f>
        <v>0</v>
      </c>
    </row>
    <row r="393" spans="1:9" ht="20.25" customHeight="1" hidden="1">
      <c r="A393" s="14" t="s">
        <v>213</v>
      </c>
      <c r="B393" s="17" t="s">
        <v>177</v>
      </c>
      <c r="C393" s="30" t="s">
        <v>368</v>
      </c>
      <c r="D393" s="30" t="s">
        <v>160</v>
      </c>
      <c r="E393" s="30" t="s">
        <v>808</v>
      </c>
      <c r="F393" s="30" t="s">
        <v>279</v>
      </c>
      <c r="G393" s="74">
        <f t="shared" si="33"/>
        <v>0</v>
      </c>
      <c r="H393" s="74"/>
      <c r="I393" s="74"/>
    </row>
    <row r="394" spans="1:9" ht="75.75" customHeight="1" hidden="1">
      <c r="A394" s="14" t="s">
        <v>807</v>
      </c>
      <c r="B394" s="17" t="s">
        <v>177</v>
      </c>
      <c r="C394" s="30" t="s">
        <v>368</v>
      </c>
      <c r="D394" s="30" t="s">
        <v>160</v>
      </c>
      <c r="E394" s="30" t="s">
        <v>809</v>
      </c>
      <c r="F394" s="30" t="s">
        <v>398</v>
      </c>
      <c r="G394" s="74">
        <f t="shared" si="33"/>
        <v>0</v>
      </c>
      <c r="H394" s="74">
        <f>H395</f>
        <v>0</v>
      </c>
      <c r="I394" s="74"/>
    </row>
    <row r="395" spans="1:9" ht="42.75" customHeight="1" hidden="1">
      <c r="A395" s="14" t="s">
        <v>211</v>
      </c>
      <c r="B395" s="17" t="s">
        <v>177</v>
      </c>
      <c r="C395" s="30" t="s">
        <v>368</v>
      </c>
      <c r="D395" s="30" t="s">
        <v>160</v>
      </c>
      <c r="E395" s="30" t="s">
        <v>809</v>
      </c>
      <c r="F395" s="30" t="s">
        <v>212</v>
      </c>
      <c r="G395" s="74">
        <f t="shared" si="33"/>
        <v>0</v>
      </c>
      <c r="H395" s="74">
        <f>H396</f>
        <v>0</v>
      </c>
      <c r="I395" s="74"/>
    </row>
    <row r="396" spans="1:9" ht="21" customHeight="1" hidden="1">
      <c r="A396" s="14" t="s">
        <v>213</v>
      </c>
      <c r="B396" s="17" t="s">
        <v>177</v>
      </c>
      <c r="C396" s="30" t="s">
        <v>368</v>
      </c>
      <c r="D396" s="30" t="s">
        <v>160</v>
      </c>
      <c r="E396" s="30" t="s">
        <v>809</v>
      </c>
      <c r="F396" s="30" t="s">
        <v>279</v>
      </c>
      <c r="G396" s="74">
        <f t="shared" si="33"/>
        <v>0</v>
      </c>
      <c r="H396" s="74"/>
      <c r="I396" s="74"/>
    </row>
    <row r="397" spans="1:9" s="92" customFormat="1" ht="29.25" customHeight="1" hidden="1">
      <c r="A397" s="45" t="s">
        <v>883</v>
      </c>
      <c r="B397" s="63" t="s">
        <v>177</v>
      </c>
      <c r="C397" s="49" t="s">
        <v>368</v>
      </c>
      <c r="D397" s="49" t="s">
        <v>160</v>
      </c>
      <c r="E397" s="49" t="s">
        <v>847</v>
      </c>
      <c r="F397" s="49" t="s">
        <v>398</v>
      </c>
      <c r="G397" s="83">
        <f t="shared" si="33"/>
        <v>0</v>
      </c>
      <c r="H397" s="83">
        <f>H398</f>
        <v>0</v>
      </c>
      <c r="I397" s="83">
        <f>I398</f>
        <v>0</v>
      </c>
    </row>
    <row r="398" spans="1:9" ht="28.5" customHeight="1" hidden="1">
      <c r="A398" s="65" t="s">
        <v>211</v>
      </c>
      <c r="B398" s="17" t="s">
        <v>177</v>
      </c>
      <c r="C398" s="30" t="s">
        <v>368</v>
      </c>
      <c r="D398" s="30" t="s">
        <v>160</v>
      </c>
      <c r="E398" s="49" t="s">
        <v>847</v>
      </c>
      <c r="F398" s="49" t="s">
        <v>212</v>
      </c>
      <c r="G398" s="74">
        <f t="shared" si="33"/>
        <v>0</v>
      </c>
      <c r="H398" s="74">
        <f>H399</f>
        <v>0</v>
      </c>
      <c r="I398" s="74">
        <f>I399</f>
        <v>0</v>
      </c>
    </row>
    <row r="399" spans="1:9" ht="18.75" customHeight="1" hidden="1">
      <c r="A399" s="65" t="s">
        <v>213</v>
      </c>
      <c r="B399" s="17" t="s">
        <v>177</v>
      </c>
      <c r="C399" s="30" t="s">
        <v>368</v>
      </c>
      <c r="D399" s="30" t="s">
        <v>160</v>
      </c>
      <c r="E399" s="49" t="s">
        <v>847</v>
      </c>
      <c r="F399" s="49" t="s">
        <v>279</v>
      </c>
      <c r="G399" s="74">
        <f t="shared" si="33"/>
        <v>0</v>
      </c>
      <c r="H399" s="74"/>
      <c r="I399" s="74"/>
    </row>
    <row r="400" spans="1:9" s="92" customFormat="1" ht="32.25" customHeight="1" hidden="1">
      <c r="A400" s="45" t="s">
        <v>884</v>
      </c>
      <c r="B400" s="63" t="s">
        <v>177</v>
      </c>
      <c r="C400" s="49" t="s">
        <v>368</v>
      </c>
      <c r="D400" s="49" t="s">
        <v>160</v>
      </c>
      <c r="E400" s="49" t="s">
        <v>848</v>
      </c>
      <c r="F400" s="49" t="s">
        <v>398</v>
      </c>
      <c r="G400" s="83">
        <f t="shared" si="33"/>
        <v>0</v>
      </c>
      <c r="H400" s="83">
        <f>H401</f>
        <v>0</v>
      </c>
      <c r="I400" s="83">
        <f>I401</f>
        <v>0</v>
      </c>
    </row>
    <row r="401" spans="1:9" ht="44.25" customHeight="1" hidden="1">
      <c r="A401" s="65" t="s">
        <v>211</v>
      </c>
      <c r="B401" s="17" t="s">
        <v>177</v>
      </c>
      <c r="C401" s="30" t="s">
        <v>368</v>
      </c>
      <c r="D401" s="30" t="s">
        <v>160</v>
      </c>
      <c r="E401" s="49" t="s">
        <v>848</v>
      </c>
      <c r="F401" s="30" t="s">
        <v>212</v>
      </c>
      <c r="G401" s="74">
        <f t="shared" si="33"/>
        <v>0</v>
      </c>
      <c r="H401" s="74">
        <f>H402</f>
        <v>0</v>
      </c>
      <c r="I401" s="74">
        <f>I402</f>
        <v>0</v>
      </c>
    </row>
    <row r="402" spans="1:9" ht="21" customHeight="1" hidden="1">
      <c r="A402" s="65" t="s">
        <v>213</v>
      </c>
      <c r="B402" s="17" t="s">
        <v>177</v>
      </c>
      <c r="C402" s="30" t="s">
        <v>368</v>
      </c>
      <c r="D402" s="30" t="s">
        <v>160</v>
      </c>
      <c r="E402" s="49" t="s">
        <v>848</v>
      </c>
      <c r="F402" s="30" t="s">
        <v>279</v>
      </c>
      <c r="G402" s="74">
        <f t="shared" si="33"/>
        <v>0</v>
      </c>
      <c r="H402" s="74"/>
      <c r="I402" s="74"/>
    </row>
    <row r="403" spans="1:20" ht="41.25">
      <c r="A403" s="45" t="s">
        <v>452</v>
      </c>
      <c r="B403" s="63">
        <v>951</v>
      </c>
      <c r="C403" s="49" t="s">
        <v>368</v>
      </c>
      <c r="D403" s="49" t="s">
        <v>160</v>
      </c>
      <c r="E403" s="49" t="s">
        <v>35</v>
      </c>
      <c r="F403" s="49" t="s">
        <v>398</v>
      </c>
      <c r="G403" s="83">
        <f aca="true" t="shared" si="34" ref="G403:G429">H403+I403</f>
        <v>39</v>
      </c>
      <c r="H403" s="83">
        <f>H404</f>
        <v>39</v>
      </c>
      <c r="I403" s="83">
        <f>I404</f>
        <v>0</v>
      </c>
      <c r="L403" s="73"/>
      <c r="M403" s="229"/>
      <c r="N403" s="230"/>
      <c r="O403" s="230"/>
      <c r="P403" s="231"/>
      <c r="Q403" s="62" t="s">
        <v>398</v>
      </c>
      <c r="R403" s="77">
        <f>R404</f>
        <v>0</v>
      </c>
      <c r="S403" s="77">
        <f>S404</f>
        <v>0</v>
      </c>
      <c r="T403" s="77">
        <f>T404</f>
        <v>0</v>
      </c>
    </row>
    <row r="404" spans="1:9" ht="27">
      <c r="A404" s="14" t="s">
        <v>87</v>
      </c>
      <c r="B404" s="17">
        <v>951</v>
      </c>
      <c r="C404" s="30" t="s">
        <v>368</v>
      </c>
      <c r="D404" s="30" t="s">
        <v>160</v>
      </c>
      <c r="E404" s="30" t="s">
        <v>477</v>
      </c>
      <c r="F404" s="30" t="s">
        <v>398</v>
      </c>
      <c r="G404" s="74">
        <f t="shared" si="34"/>
        <v>39</v>
      </c>
      <c r="H404" s="74">
        <f>H405</f>
        <v>39</v>
      </c>
      <c r="I404" s="74">
        <f>I405</f>
        <v>0</v>
      </c>
    </row>
    <row r="405" spans="1:9" ht="13.5">
      <c r="A405" s="14" t="s">
        <v>213</v>
      </c>
      <c r="B405" s="17">
        <v>951</v>
      </c>
      <c r="C405" s="30" t="s">
        <v>368</v>
      </c>
      <c r="D405" s="30" t="s">
        <v>160</v>
      </c>
      <c r="E405" s="30" t="s">
        <v>88</v>
      </c>
      <c r="F405" s="30" t="s">
        <v>279</v>
      </c>
      <c r="G405" s="74">
        <f t="shared" si="34"/>
        <v>39</v>
      </c>
      <c r="H405" s="74">
        <v>39</v>
      </c>
      <c r="I405" s="74"/>
    </row>
    <row r="406" spans="1:9" ht="61.5" customHeight="1">
      <c r="A406" s="45" t="s">
        <v>454</v>
      </c>
      <c r="B406" s="63">
        <v>951</v>
      </c>
      <c r="C406" s="49" t="s">
        <v>368</v>
      </c>
      <c r="D406" s="49" t="s">
        <v>160</v>
      </c>
      <c r="E406" s="49" t="s">
        <v>76</v>
      </c>
      <c r="F406" s="49" t="s">
        <v>398</v>
      </c>
      <c r="G406" s="83">
        <f t="shared" si="34"/>
        <v>4</v>
      </c>
      <c r="H406" s="83">
        <f>H407</f>
        <v>4</v>
      </c>
      <c r="I406" s="83">
        <f>I407</f>
        <v>0</v>
      </c>
    </row>
    <row r="407" spans="1:9" ht="32.25" customHeight="1">
      <c r="A407" s="14" t="s">
        <v>330</v>
      </c>
      <c r="B407" s="17">
        <v>951</v>
      </c>
      <c r="C407" s="30" t="s">
        <v>368</v>
      </c>
      <c r="D407" s="30" t="s">
        <v>160</v>
      </c>
      <c r="E407" s="30" t="s">
        <v>89</v>
      </c>
      <c r="F407" s="30" t="s">
        <v>279</v>
      </c>
      <c r="G407" s="74">
        <f t="shared" si="34"/>
        <v>4</v>
      </c>
      <c r="H407" s="74">
        <v>4</v>
      </c>
      <c r="I407" s="74"/>
    </row>
    <row r="408" spans="1:9" ht="41.25">
      <c r="A408" s="45" t="s">
        <v>464</v>
      </c>
      <c r="B408" s="63">
        <v>951</v>
      </c>
      <c r="C408" s="49" t="s">
        <v>368</v>
      </c>
      <c r="D408" s="49" t="s">
        <v>160</v>
      </c>
      <c r="E408" s="63" t="s">
        <v>42</v>
      </c>
      <c r="F408" s="49" t="s">
        <v>398</v>
      </c>
      <c r="G408" s="83">
        <f t="shared" si="34"/>
        <v>20</v>
      </c>
      <c r="H408" s="83">
        <f>H409</f>
        <v>20</v>
      </c>
      <c r="I408" s="83">
        <f>I409+I410</f>
        <v>0</v>
      </c>
    </row>
    <row r="409" spans="1:9" ht="18" customHeight="1">
      <c r="A409" s="14" t="s">
        <v>213</v>
      </c>
      <c r="B409" s="17">
        <v>951</v>
      </c>
      <c r="C409" s="30" t="s">
        <v>368</v>
      </c>
      <c r="D409" s="30" t="s">
        <v>160</v>
      </c>
      <c r="E409" s="17" t="s">
        <v>652</v>
      </c>
      <c r="F409" s="30" t="s">
        <v>279</v>
      </c>
      <c r="G409" s="74">
        <f t="shared" si="34"/>
        <v>20</v>
      </c>
      <c r="H409" s="74">
        <f>H410</f>
        <v>20</v>
      </c>
      <c r="I409" s="74"/>
    </row>
    <row r="410" spans="1:9" ht="27.75" customHeight="1">
      <c r="A410" s="14" t="s">
        <v>850</v>
      </c>
      <c r="B410" s="17">
        <v>951</v>
      </c>
      <c r="C410" s="30" t="s">
        <v>368</v>
      </c>
      <c r="D410" s="30" t="s">
        <v>160</v>
      </c>
      <c r="E410" s="17" t="s">
        <v>652</v>
      </c>
      <c r="F410" s="30" t="s">
        <v>279</v>
      </c>
      <c r="G410" s="74">
        <f t="shared" si="34"/>
        <v>20</v>
      </c>
      <c r="H410" s="74">
        <v>20</v>
      </c>
      <c r="I410" s="74"/>
    </row>
    <row r="411" spans="1:9" ht="23.25" customHeight="1" hidden="1">
      <c r="A411" s="45" t="s">
        <v>505</v>
      </c>
      <c r="B411" s="63">
        <v>951</v>
      </c>
      <c r="C411" s="49" t="s">
        <v>368</v>
      </c>
      <c r="D411" s="49" t="s">
        <v>160</v>
      </c>
      <c r="E411" s="49" t="s">
        <v>503</v>
      </c>
      <c r="F411" s="49" t="s">
        <v>398</v>
      </c>
      <c r="G411" s="83">
        <f t="shared" si="34"/>
        <v>0</v>
      </c>
      <c r="H411" s="83">
        <f>H412</f>
        <v>0</v>
      </c>
      <c r="I411" s="83"/>
    </row>
    <row r="412" spans="1:9" ht="23.25" customHeight="1" hidden="1">
      <c r="A412" s="14" t="s">
        <v>211</v>
      </c>
      <c r="B412" s="17">
        <v>951</v>
      </c>
      <c r="C412" s="30" t="s">
        <v>368</v>
      </c>
      <c r="D412" s="30" t="s">
        <v>160</v>
      </c>
      <c r="E412" s="30" t="s">
        <v>775</v>
      </c>
      <c r="F412" s="30" t="s">
        <v>212</v>
      </c>
      <c r="G412" s="74">
        <f t="shared" si="34"/>
        <v>0</v>
      </c>
      <c r="H412" s="74">
        <f>H413</f>
        <v>0</v>
      </c>
      <c r="I412" s="74"/>
    </row>
    <row r="413" spans="1:9" ht="23.25" customHeight="1" hidden="1">
      <c r="A413" s="14" t="s">
        <v>213</v>
      </c>
      <c r="B413" s="17">
        <v>951</v>
      </c>
      <c r="C413" s="30" t="s">
        <v>368</v>
      </c>
      <c r="D413" s="30" t="s">
        <v>160</v>
      </c>
      <c r="E413" s="30" t="s">
        <v>775</v>
      </c>
      <c r="F413" s="30" t="s">
        <v>279</v>
      </c>
      <c r="G413" s="74">
        <f t="shared" si="34"/>
        <v>0</v>
      </c>
      <c r="H413" s="74">
        <v>0</v>
      </c>
      <c r="I413" s="74"/>
    </row>
    <row r="414" spans="1:9" s="92" customFormat="1" ht="19.5" customHeight="1" hidden="1">
      <c r="A414" s="68" t="s">
        <v>878</v>
      </c>
      <c r="B414" s="75">
        <v>951</v>
      </c>
      <c r="C414" s="69" t="s">
        <v>365</v>
      </c>
      <c r="D414" s="69" t="s">
        <v>150</v>
      </c>
      <c r="E414" s="69" t="s">
        <v>311</v>
      </c>
      <c r="F414" s="69" t="s">
        <v>398</v>
      </c>
      <c r="G414" s="82">
        <f>H414+I414</f>
        <v>0</v>
      </c>
      <c r="H414" s="82">
        <f>H416</f>
        <v>0</v>
      </c>
      <c r="I414" s="82">
        <f>I416</f>
        <v>0</v>
      </c>
    </row>
    <row r="415" spans="1:9" s="227" customFormat="1" ht="23.25" customHeight="1" hidden="1">
      <c r="A415" s="64" t="s">
        <v>853</v>
      </c>
      <c r="B415" s="62" t="s">
        <v>177</v>
      </c>
      <c r="C415" s="62" t="s">
        <v>365</v>
      </c>
      <c r="D415" s="62" t="s">
        <v>365</v>
      </c>
      <c r="E415" s="62" t="s">
        <v>311</v>
      </c>
      <c r="F415" s="62" t="s">
        <v>398</v>
      </c>
      <c r="G415" s="77">
        <f>G416</f>
        <v>0</v>
      </c>
      <c r="H415" s="77">
        <f>H416</f>
        <v>0</v>
      </c>
      <c r="I415" s="77">
        <f>I416</f>
        <v>0</v>
      </c>
    </row>
    <row r="416" spans="1:9" ht="36" customHeight="1" hidden="1">
      <c r="A416" s="14" t="s">
        <v>834</v>
      </c>
      <c r="B416" s="63">
        <v>951</v>
      </c>
      <c r="C416" s="49" t="s">
        <v>365</v>
      </c>
      <c r="D416" s="49" t="s">
        <v>365</v>
      </c>
      <c r="E416" s="49" t="s">
        <v>852</v>
      </c>
      <c r="F416" s="30" t="s">
        <v>398</v>
      </c>
      <c r="G416" s="83">
        <f>H416+I416</f>
        <v>0</v>
      </c>
      <c r="H416" s="74">
        <f>H417</f>
        <v>0</v>
      </c>
      <c r="I416" s="74">
        <f>I417</f>
        <v>0</v>
      </c>
    </row>
    <row r="417" spans="1:9" ht="36" customHeight="1" hidden="1">
      <c r="A417" s="14" t="s">
        <v>188</v>
      </c>
      <c r="B417" s="63">
        <v>951</v>
      </c>
      <c r="C417" s="49" t="s">
        <v>365</v>
      </c>
      <c r="D417" s="49" t="s">
        <v>365</v>
      </c>
      <c r="E417" s="30" t="s">
        <v>851</v>
      </c>
      <c r="F417" s="30" t="s">
        <v>158</v>
      </c>
      <c r="G417" s="74">
        <f>H417+I417</f>
        <v>0</v>
      </c>
      <c r="H417" s="74">
        <f>H418</f>
        <v>0</v>
      </c>
      <c r="I417" s="74">
        <f>I418</f>
        <v>0</v>
      </c>
    </row>
    <row r="418" spans="1:9" ht="47.25" customHeight="1" hidden="1">
      <c r="A418" s="37" t="s">
        <v>189</v>
      </c>
      <c r="B418" s="63">
        <v>951</v>
      </c>
      <c r="C418" s="49" t="s">
        <v>365</v>
      </c>
      <c r="D418" s="49" t="s">
        <v>365</v>
      </c>
      <c r="E418" s="30" t="s">
        <v>854</v>
      </c>
      <c r="F418" s="30" t="s">
        <v>190</v>
      </c>
      <c r="G418" s="74">
        <f>H418+I418</f>
        <v>0</v>
      </c>
      <c r="H418" s="74">
        <v>0</v>
      </c>
      <c r="I418" s="74"/>
    </row>
    <row r="419" spans="1:9" ht="23.25" customHeight="1" hidden="1">
      <c r="A419" s="14"/>
      <c r="B419" s="17"/>
      <c r="C419" s="30"/>
      <c r="D419" s="30"/>
      <c r="E419" s="30"/>
      <c r="F419" s="30"/>
      <c r="G419" s="74"/>
      <c r="H419" s="74"/>
      <c r="I419" s="74"/>
    </row>
    <row r="420" spans="1:9" ht="19.5" customHeight="1">
      <c r="A420" s="91" t="s">
        <v>220</v>
      </c>
      <c r="B420" s="150">
        <v>951</v>
      </c>
      <c r="C420" s="69" t="s">
        <v>221</v>
      </c>
      <c r="D420" s="69" t="s">
        <v>150</v>
      </c>
      <c r="E420" s="69" t="s">
        <v>311</v>
      </c>
      <c r="F420" s="69" t="s">
        <v>398</v>
      </c>
      <c r="G420" s="107">
        <f t="shared" si="34"/>
        <v>27820.464809999998</v>
      </c>
      <c r="H420" s="107">
        <f>H421+H426+H438</f>
        <v>1111</v>
      </c>
      <c r="I420" s="107">
        <f>I421+I426+I438</f>
        <v>26709.464809999998</v>
      </c>
    </row>
    <row r="421" spans="1:9" ht="16.5" customHeight="1">
      <c r="A421" s="64" t="s">
        <v>143</v>
      </c>
      <c r="B421" s="76">
        <v>951</v>
      </c>
      <c r="C421" s="62" t="s">
        <v>221</v>
      </c>
      <c r="D421" s="62" t="s">
        <v>149</v>
      </c>
      <c r="E421" s="62" t="s">
        <v>311</v>
      </c>
      <c r="F421" s="62" t="s">
        <v>398</v>
      </c>
      <c r="G421" s="77">
        <f t="shared" si="34"/>
        <v>901</v>
      </c>
      <c r="H421" s="77">
        <f aca="true" t="shared" si="35" ref="H421:I424">H422</f>
        <v>901</v>
      </c>
      <c r="I421" s="77">
        <f t="shared" si="35"/>
        <v>0</v>
      </c>
    </row>
    <row r="422" spans="1:9" ht="31.5" customHeight="1">
      <c r="A422" s="14" t="s">
        <v>568</v>
      </c>
      <c r="B422" s="17">
        <v>951</v>
      </c>
      <c r="C422" s="30" t="s">
        <v>221</v>
      </c>
      <c r="D422" s="30" t="s">
        <v>149</v>
      </c>
      <c r="E422" s="30" t="s">
        <v>90</v>
      </c>
      <c r="F422" s="30" t="s">
        <v>398</v>
      </c>
      <c r="G422" s="74">
        <f t="shared" si="34"/>
        <v>901</v>
      </c>
      <c r="H422" s="74">
        <f t="shared" si="35"/>
        <v>901</v>
      </c>
      <c r="I422" s="74">
        <f t="shared" si="35"/>
        <v>0</v>
      </c>
    </row>
    <row r="423" spans="1:9" ht="43.5" customHeight="1">
      <c r="A423" s="14" t="s">
        <v>144</v>
      </c>
      <c r="B423" s="17">
        <v>951</v>
      </c>
      <c r="C423" s="30" t="s">
        <v>221</v>
      </c>
      <c r="D423" s="30" t="s">
        <v>149</v>
      </c>
      <c r="E423" s="30" t="s">
        <v>90</v>
      </c>
      <c r="F423" s="30" t="s">
        <v>398</v>
      </c>
      <c r="G423" s="74">
        <f t="shared" si="34"/>
        <v>901</v>
      </c>
      <c r="H423" s="74">
        <f t="shared" si="35"/>
        <v>901</v>
      </c>
      <c r="I423" s="74">
        <f t="shared" si="35"/>
        <v>0</v>
      </c>
    </row>
    <row r="424" spans="1:9" ht="27">
      <c r="A424" s="14" t="s">
        <v>202</v>
      </c>
      <c r="B424" s="17">
        <v>951</v>
      </c>
      <c r="C424" s="30" t="s">
        <v>221</v>
      </c>
      <c r="D424" s="30" t="s">
        <v>149</v>
      </c>
      <c r="E424" s="30" t="s">
        <v>90</v>
      </c>
      <c r="F424" s="30" t="s">
        <v>159</v>
      </c>
      <c r="G424" s="74">
        <f t="shared" si="34"/>
        <v>901</v>
      </c>
      <c r="H424" s="74">
        <f t="shared" si="35"/>
        <v>901</v>
      </c>
      <c r="I424" s="74">
        <f t="shared" si="35"/>
        <v>0</v>
      </c>
    </row>
    <row r="425" spans="1:9" ht="30" customHeight="1">
      <c r="A425" s="14" t="s">
        <v>203</v>
      </c>
      <c r="B425" s="17">
        <v>951</v>
      </c>
      <c r="C425" s="30" t="s">
        <v>221</v>
      </c>
      <c r="D425" s="30" t="s">
        <v>149</v>
      </c>
      <c r="E425" s="30" t="s">
        <v>90</v>
      </c>
      <c r="F425" s="30" t="s">
        <v>204</v>
      </c>
      <c r="G425" s="74">
        <f t="shared" si="34"/>
        <v>901</v>
      </c>
      <c r="H425" s="109">
        <f>831+70</f>
        <v>901</v>
      </c>
      <c r="I425" s="74"/>
    </row>
    <row r="426" spans="1:9" ht="17.25" customHeight="1">
      <c r="A426" s="64" t="s">
        <v>569</v>
      </c>
      <c r="B426" s="76">
        <v>951</v>
      </c>
      <c r="C426" s="62" t="s">
        <v>221</v>
      </c>
      <c r="D426" s="62" t="s">
        <v>156</v>
      </c>
      <c r="E426" s="62" t="s">
        <v>311</v>
      </c>
      <c r="F426" s="62" t="s">
        <v>398</v>
      </c>
      <c r="G426" s="77">
        <f t="shared" si="34"/>
        <v>210</v>
      </c>
      <c r="H426" s="77">
        <f>H427+H433</f>
        <v>210</v>
      </c>
      <c r="I426" s="77">
        <f>I427+I433</f>
        <v>0</v>
      </c>
    </row>
    <row r="427" spans="1:9" ht="50.25" customHeight="1">
      <c r="A427" s="45" t="s">
        <v>751</v>
      </c>
      <c r="B427" s="17">
        <v>951</v>
      </c>
      <c r="C427" s="49" t="s">
        <v>221</v>
      </c>
      <c r="D427" s="49" t="s">
        <v>156</v>
      </c>
      <c r="E427" s="49" t="s">
        <v>91</v>
      </c>
      <c r="F427" s="49" t="s">
        <v>398</v>
      </c>
      <c r="G427" s="83">
        <f t="shared" si="34"/>
        <v>40</v>
      </c>
      <c r="H427" s="83">
        <f>H428</f>
        <v>40</v>
      </c>
      <c r="I427" s="83">
        <f>I429</f>
        <v>0</v>
      </c>
    </row>
    <row r="428" spans="1:9" ht="25.5" customHeight="1">
      <c r="A428" s="14" t="s">
        <v>202</v>
      </c>
      <c r="B428" s="17" t="s">
        <v>177</v>
      </c>
      <c r="C428" s="30" t="s">
        <v>221</v>
      </c>
      <c r="D428" s="30" t="s">
        <v>156</v>
      </c>
      <c r="E428" s="30" t="s">
        <v>92</v>
      </c>
      <c r="F428" s="30" t="s">
        <v>159</v>
      </c>
      <c r="G428" s="74">
        <f>H428</f>
        <v>40</v>
      </c>
      <c r="H428" s="74">
        <f>H429</f>
        <v>40</v>
      </c>
      <c r="I428" s="74"/>
    </row>
    <row r="429" spans="1:9" ht="29.25" customHeight="1">
      <c r="A429" s="14" t="s">
        <v>205</v>
      </c>
      <c r="B429" s="17">
        <v>951</v>
      </c>
      <c r="C429" s="30" t="s">
        <v>221</v>
      </c>
      <c r="D429" s="30" t="s">
        <v>156</v>
      </c>
      <c r="E429" s="30" t="s">
        <v>92</v>
      </c>
      <c r="F429" s="30" t="s">
        <v>206</v>
      </c>
      <c r="G429" s="74">
        <f t="shared" si="34"/>
        <v>40</v>
      </c>
      <c r="H429" s="74">
        <f>200-160</f>
        <v>40</v>
      </c>
      <c r="I429" s="74"/>
    </row>
    <row r="430" spans="1:9" ht="17.25" customHeight="1" hidden="1">
      <c r="A430" s="119" t="s">
        <v>519</v>
      </c>
      <c r="B430" s="76">
        <v>952</v>
      </c>
      <c r="C430" s="30" t="s">
        <v>221</v>
      </c>
      <c r="D430" s="30" t="s">
        <v>156</v>
      </c>
      <c r="E430" s="62" t="s">
        <v>311</v>
      </c>
      <c r="F430" s="62" t="s">
        <v>398</v>
      </c>
      <c r="G430" s="77">
        <f>H430</f>
        <v>0</v>
      </c>
      <c r="H430" s="77">
        <f>H431</f>
        <v>0</v>
      </c>
      <c r="I430" s="77"/>
    </row>
    <row r="431" spans="1:9" ht="29.25" customHeight="1" hidden="1">
      <c r="A431" s="14" t="s">
        <v>202</v>
      </c>
      <c r="B431" s="17">
        <v>953</v>
      </c>
      <c r="C431" s="30" t="s">
        <v>221</v>
      </c>
      <c r="D431" s="30" t="s">
        <v>156</v>
      </c>
      <c r="E431" s="30" t="s">
        <v>520</v>
      </c>
      <c r="F431" s="30" t="s">
        <v>159</v>
      </c>
      <c r="G431" s="74">
        <f>H431</f>
        <v>0</v>
      </c>
      <c r="H431" s="74">
        <f>H432</f>
        <v>0</v>
      </c>
      <c r="I431" s="74"/>
    </row>
    <row r="432" spans="1:9" ht="29.25" customHeight="1" hidden="1">
      <c r="A432" s="14" t="s">
        <v>205</v>
      </c>
      <c r="B432" s="17">
        <v>954</v>
      </c>
      <c r="C432" s="30" t="s">
        <v>221</v>
      </c>
      <c r="D432" s="30" t="s">
        <v>156</v>
      </c>
      <c r="E432" s="30" t="s">
        <v>520</v>
      </c>
      <c r="F432" s="30" t="s">
        <v>206</v>
      </c>
      <c r="G432" s="74">
        <f>H432</f>
        <v>0</v>
      </c>
      <c r="H432" s="74"/>
      <c r="I432" s="74"/>
    </row>
    <row r="433" spans="1:9" ht="33.75" customHeight="1">
      <c r="A433" s="14" t="s">
        <v>152</v>
      </c>
      <c r="B433" s="17" t="s">
        <v>177</v>
      </c>
      <c r="C433" s="30" t="s">
        <v>221</v>
      </c>
      <c r="D433" s="30" t="s">
        <v>156</v>
      </c>
      <c r="E433" s="30" t="s">
        <v>311</v>
      </c>
      <c r="F433" s="30" t="s">
        <v>398</v>
      </c>
      <c r="G433" s="74">
        <f>H433+I433</f>
        <v>170</v>
      </c>
      <c r="H433" s="74">
        <f aca="true" t="shared" si="36" ref="H433:I436">H434</f>
        <v>170</v>
      </c>
      <c r="I433" s="74">
        <f t="shared" si="36"/>
        <v>0</v>
      </c>
    </row>
    <row r="434" spans="1:9" ht="42" customHeight="1">
      <c r="A434" s="14" t="s">
        <v>153</v>
      </c>
      <c r="B434" s="17" t="s">
        <v>177</v>
      </c>
      <c r="C434" s="30" t="s">
        <v>221</v>
      </c>
      <c r="D434" s="30" t="s">
        <v>156</v>
      </c>
      <c r="E434" s="30" t="s">
        <v>311</v>
      </c>
      <c r="F434" s="30" t="s">
        <v>398</v>
      </c>
      <c r="G434" s="74">
        <f>G435</f>
        <v>170</v>
      </c>
      <c r="H434" s="74">
        <f t="shared" si="36"/>
        <v>170</v>
      </c>
      <c r="I434" s="74">
        <f t="shared" si="36"/>
        <v>0</v>
      </c>
    </row>
    <row r="435" spans="1:9" ht="62.25" customHeight="1">
      <c r="A435" s="46" t="s">
        <v>979</v>
      </c>
      <c r="B435" s="63" t="s">
        <v>177</v>
      </c>
      <c r="C435" s="49" t="s">
        <v>221</v>
      </c>
      <c r="D435" s="49" t="s">
        <v>156</v>
      </c>
      <c r="E435" s="49" t="s">
        <v>980</v>
      </c>
      <c r="F435" s="49" t="s">
        <v>398</v>
      </c>
      <c r="G435" s="83">
        <f>H435+I435</f>
        <v>170</v>
      </c>
      <c r="H435" s="83">
        <f t="shared" si="36"/>
        <v>170</v>
      </c>
      <c r="I435" s="83"/>
    </row>
    <row r="436" spans="1:9" ht="28.5" customHeight="1">
      <c r="A436" s="14" t="s">
        <v>202</v>
      </c>
      <c r="B436" s="17" t="s">
        <v>177</v>
      </c>
      <c r="C436" s="30" t="s">
        <v>221</v>
      </c>
      <c r="D436" s="30" t="s">
        <v>156</v>
      </c>
      <c r="E436" s="30" t="s">
        <v>980</v>
      </c>
      <c r="F436" s="30" t="s">
        <v>159</v>
      </c>
      <c r="G436" s="74">
        <f>H436+I436</f>
        <v>170</v>
      </c>
      <c r="H436" s="74">
        <f t="shared" si="36"/>
        <v>170</v>
      </c>
      <c r="I436" s="74"/>
    </row>
    <row r="437" spans="1:11" ht="30.75" customHeight="1">
      <c r="A437" s="14" t="s">
        <v>205</v>
      </c>
      <c r="B437" s="17" t="s">
        <v>177</v>
      </c>
      <c r="C437" s="30" t="s">
        <v>221</v>
      </c>
      <c r="D437" s="30" t="s">
        <v>156</v>
      </c>
      <c r="E437" s="30" t="s">
        <v>980</v>
      </c>
      <c r="F437" s="30" t="s">
        <v>206</v>
      </c>
      <c r="G437" s="74">
        <f>H437+I437</f>
        <v>170</v>
      </c>
      <c r="H437" s="74">
        <f>10+70+20+70</f>
        <v>170</v>
      </c>
      <c r="I437" s="74"/>
      <c r="J437" s="94"/>
      <c r="K437" s="73"/>
    </row>
    <row r="438" spans="1:9" ht="19.5" customHeight="1">
      <c r="A438" s="64" t="s">
        <v>391</v>
      </c>
      <c r="B438" s="76">
        <v>951</v>
      </c>
      <c r="C438" s="62" t="s">
        <v>221</v>
      </c>
      <c r="D438" s="62" t="s">
        <v>160</v>
      </c>
      <c r="E438" s="62" t="s">
        <v>311</v>
      </c>
      <c r="F438" s="62" t="s">
        <v>398</v>
      </c>
      <c r="G438" s="77">
        <f>H438+I438</f>
        <v>26709.464809999998</v>
      </c>
      <c r="H438" s="77">
        <f>H439</f>
        <v>0</v>
      </c>
      <c r="I438" s="77">
        <f>I439</f>
        <v>26709.464809999998</v>
      </c>
    </row>
    <row r="439" spans="1:11" ht="120.75" customHeight="1">
      <c r="A439" s="64" t="s">
        <v>772</v>
      </c>
      <c r="B439" s="76">
        <v>951</v>
      </c>
      <c r="C439" s="62" t="s">
        <v>221</v>
      </c>
      <c r="D439" s="62" t="s">
        <v>160</v>
      </c>
      <c r="E439" s="62" t="s">
        <v>733</v>
      </c>
      <c r="F439" s="62" t="s">
        <v>398</v>
      </c>
      <c r="G439" s="77">
        <f>H439+I439</f>
        <v>26709.464809999998</v>
      </c>
      <c r="H439" s="77">
        <f>H440+H453+H459</f>
        <v>0</v>
      </c>
      <c r="I439" s="77">
        <f>I440+I453+I459+I445</f>
        <v>26709.464809999998</v>
      </c>
      <c r="K439" s="73"/>
    </row>
    <row r="440" spans="1:11" ht="72" customHeight="1">
      <c r="A440" s="46" t="s">
        <v>842</v>
      </c>
      <c r="B440" s="63">
        <v>951</v>
      </c>
      <c r="C440" s="49" t="s">
        <v>221</v>
      </c>
      <c r="D440" s="49" t="s">
        <v>160</v>
      </c>
      <c r="E440" s="49" t="s">
        <v>739</v>
      </c>
      <c r="F440" s="49" t="s">
        <v>398</v>
      </c>
      <c r="G440" s="83">
        <f>I440</f>
        <v>2942.85</v>
      </c>
      <c r="H440" s="83"/>
      <c r="I440" s="83">
        <f>I441+I443</f>
        <v>2942.85</v>
      </c>
      <c r="J440" s="155"/>
      <c r="K440" s="73"/>
    </row>
    <row r="441" spans="1:9" ht="33.75" customHeight="1">
      <c r="A441" s="14" t="s">
        <v>188</v>
      </c>
      <c r="B441" s="17" t="s">
        <v>177</v>
      </c>
      <c r="C441" s="30" t="s">
        <v>221</v>
      </c>
      <c r="D441" s="30" t="s">
        <v>160</v>
      </c>
      <c r="E441" s="30" t="s">
        <v>739</v>
      </c>
      <c r="F441" s="30" t="s">
        <v>158</v>
      </c>
      <c r="G441" s="74">
        <f>H441+I441</f>
        <v>340.23</v>
      </c>
      <c r="H441" s="74"/>
      <c r="I441" s="74">
        <f>I442</f>
        <v>340.23</v>
      </c>
    </row>
    <row r="442" spans="1:12" ht="45.75" customHeight="1">
      <c r="A442" s="37" t="s">
        <v>189</v>
      </c>
      <c r="B442" s="17" t="s">
        <v>177</v>
      </c>
      <c r="C442" s="30" t="s">
        <v>221</v>
      </c>
      <c r="D442" s="30" t="s">
        <v>160</v>
      </c>
      <c r="E442" s="30" t="s">
        <v>739</v>
      </c>
      <c r="F442" s="30" t="s">
        <v>190</v>
      </c>
      <c r="G442" s="74">
        <f>H442+I442</f>
        <v>340.23</v>
      </c>
      <c r="H442" s="74"/>
      <c r="I442" s="74">
        <f>213.52+126.71</f>
        <v>340.23</v>
      </c>
      <c r="L442" s="73"/>
    </row>
    <row r="443" spans="1:9" ht="51" customHeight="1">
      <c r="A443" s="37" t="s">
        <v>571</v>
      </c>
      <c r="B443" s="17">
        <v>951</v>
      </c>
      <c r="C443" s="30" t="s">
        <v>221</v>
      </c>
      <c r="D443" s="30" t="s">
        <v>160</v>
      </c>
      <c r="E443" s="30" t="s">
        <v>739</v>
      </c>
      <c r="F443" s="30" t="s">
        <v>572</v>
      </c>
      <c r="G443" s="74">
        <f>I443</f>
        <v>2602.62</v>
      </c>
      <c r="H443" s="74"/>
      <c r="I443" s="74">
        <f>I444</f>
        <v>2602.62</v>
      </c>
    </row>
    <row r="444" spans="1:9" ht="21.75" customHeight="1">
      <c r="A444" s="37" t="s">
        <v>573</v>
      </c>
      <c r="B444" s="17">
        <v>951</v>
      </c>
      <c r="C444" s="30" t="s">
        <v>221</v>
      </c>
      <c r="D444" s="30" t="s">
        <v>160</v>
      </c>
      <c r="E444" s="30" t="s">
        <v>739</v>
      </c>
      <c r="F444" s="30" t="s">
        <v>574</v>
      </c>
      <c r="G444" s="74">
        <f>I444</f>
        <v>2602.62</v>
      </c>
      <c r="H444" s="74"/>
      <c r="I444" s="74">
        <f>3600.54939-571.21939-126.71-300</f>
        <v>2602.62</v>
      </c>
    </row>
    <row r="445" spans="1:9" ht="72" customHeight="1">
      <c r="A445" s="46" t="s">
        <v>843</v>
      </c>
      <c r="B445" s="63">
        <v>951</v>
      </c>
      <c r="C445" s="49" t="s">
        <v>221</v>
      </c>
      <c r="D445" s="49" t="s">
        <v>160</v>
      </c>
      <c r="E445" s="49" t="s">
        <v>832</v>
      </c>
      <c r="F445" s="49" t="s">
        <v>398</v>
      </c>
      <c r="G445" s="83">
        <f>I445</f>
        <v>12504.1824</v>
      </c>
      <c r="H445" s="83"/>
      <c r="I445" s="83">
        <f>I446+I448</f>
        <v>12504.1824</v>
      </c>
    </row>
    <row r="446" spans="1:9" ht="16.5" customHeight="1">
      <c r="A446" s="37" t="s">
        <v>571</v>
      </c>
      <c r="B446" s="17">
        <v>951</v>
      </c>
      <c r="C446" s="30" t="s">
        <v>221</v>
      </c>
      <c r="D446" s="30" t="s">
        <v>160</v>
      </c>
      <c r="E446" s="30" t="s">
        <v>832</v>
      </c>
      <c r="F446" s="30" t="s">
        <v>572</v>
      </c>
      <c r="G446" s="74">
        <f>I446</f>
        <v>12504.1824</v>
      </c>
      <c r="H446" s="74"/>
      <c r="I446" s="74">
        <f>I447</f>
        <v>12504.1824</v>
      </c>
    </row>
    <row r="447" spans="1:9" ht="16.5" customHeight="1">
      <c r="A447" s="37" t="s">
        <v>573</v>
      </c>
      <c r="B447" s="17">
        <v>951</v>
      </c>
      <c r="C447" s="30" t="s">
        <v>221</v>
      </c>
      <c r="D447" s="30" t="s">
        <v>160</v>
      </c>
      <c r="E447" s="30" t="s">
        <v>832</v>
      </c>
      <c r="F447" s="30" t="s">
        <v>574</v>
      </c>
      <c r="G447" s="74">
        <f>I447</f>
        <v>12504.1824</v>
      </c>
      <c r="H447" s="74"/>
      <c r="I447" s="74">
        <f>9339.59292+389.14971+4302.72-1362.34263-164.9376</f>
        <v>12504.1824</v>
      </c>
    </row>
    <row r="448" spans="1:9" ht="16.5" customHeight="1" hidden="1">
      <c r="A448" s="37"/>
      <c r="B448" s="17"/>
      <c r="C448" s="30"/>
      <c r="D448" s="30"/>
      <c r="E448" s="30"/>
      <c r="F448" s="30"/>
      <c r="G448" s="74"/>
      <c r="H448" s="74"/>
      <c r="I448" s="74"/>
    </row>
    <row r="449" spans="1:9" ht="16.5" customHeight="1" hidden="1">
      <c r="A449" s="37"/>
      <c r="B449" s="17"/>
      <c r="C449" s="30"/>
      <c r="D449" s="30"/>
      <c r="E449" s="30"/>
      <c r="F449" s="30"/>
      <c r="G449" s="74"/>
      <c r="H449" s="74"/>
      <c r="I449" s="74"/>
    </row>
    <row r="450" spans="1:9" ht="16.5" customHeight="1" hidden="1">
      <c r="A450" s="37"/>
      <c r="B450" s="17"/>
      <c r="C450" s="30"/>
      <c r="D450" s="30"/>
      <c r="E450" s="30"/>
      <c r="F450" s="30"/>
      <c r="G450" s="74"/>
      <c r="H450" s="74"/>
      <c r="I450" s="74"/>
    </row>
    <row r="451" spans="1:9" ht="16.5" customHeight="1" hidden="1">
      <c r="A451" s="37"/>
      <c r="B451" s="17"/>
      <c r="C451" s="30"/>
      <c r="D451" s="30"/>
      <c r="E451" s="30"/>
      <c r="F451" s="30"/>
      <c r="G451" s="74"/>
      <c r="H451" s="74"/>
      <c r="I451" s="74"/>
    </row>
    <row r="452" spans="1:9" ht="16.5" customHeight="1" hidden="1">
      <c r="A452" s="37"/>
      <c r="B452" s="17"/>
      <c r="C452" s="30"/>
      <c r="D452" s="30"/>
      <c r="E452" s="30"/>
      <c r="F452" s="30"/>
      <c r="G452" s="74"/>
      <c r="H452" s="74"/>
      <c r="I452" s="74"/>
    </row>
    <row r="453" spans="1:11" ht="103.5" customHeight="1">
      <c r="A453" s="45" t="s">
        <v>638</v>
      </c>
      <c r="B453" s="17">
        <v>951</v>
      </c>
      <c r="C453" s="30" t="s">
        <v>221</v>
      </c>
      <c r="D453" s="30" t="s">
        <v>160</v>
      </c>
      <c r="E453" s="30" t="s">
        <v>737</v>
      </c>
      <c r="F453" s="49" t="s">
        <v>398</v>
      </c>
      <c r="G453" s="83">
        <f aca="true" t="shared" si="37" ref="G453:G458">H453+I453</f>
        <v>11262.43241</v>
      </c>
      <c r="H453" s="83"/>
      <c r="I453" s="83">
        <f>I454+I456</f>
        <v>11262.43241</v>
      </c>
      <c r="K453" s="73"/>
    </row>
    <row r="454" spans="1:9" ht="31.5" customHeight="1">
      <c r="A454" s="14" t="s">
        <v>188</v>
      </c>
      <c r="B454" s="17" t="s">
        <v>177</v>
      </c>
      <c r="C454" s="30" t="s">
        <v>221</v>
      </c>
      <c r="D454" s="30" t="s">
        <v>160</v>
      </c>
      <c r="E454" s="30" t="s">
        <v>737</v>
      </c>
      <c r="F454" s="30" t="s">
        <v>158</v>
      </c>
      <c r="G454" s="74">
        <f>I454</f>
        <v>103.53807</v>
      </c>
      <c r="H454" s="74"/>
      <c r="I454" s="74">
        <f>I455</f>
        <v>103.53807</v>
      </c>
    </row>
    <row r="455" spans="1:9" ht="42.75" customHeight="1">
      <c r="A455" s="37" t="s">
        <v>189</v>
      </c>
      <c r="B455" s="17" t="s">
        <v>177</v>
      </c>
      <c r="C455" s="30" t="s">
        <v>221</v>
      </c>
      <c r="D455" s="30" t="s">
        <v>160</v>
      </c>
      <c r="E455" s="30" t="s">
        <v>737</v>
      </c>
      <c r="F455" s="30" t="s">
        <v>190</v>
      </c>
      <c r="G455" s="74">
        <f>I455</f>
        <v>103.53807</v>
      </c>
      <c r="H455" s="74"/>
      <c r="I455" s="74">
        <f>150-46.46193</f>
        <v>103.53807</v>
      </c>
    </row>
    <row r="456" spans="1:9" ht="29.25" customHeight="1">
      <c r="A456" s="14" t="s">
        <v>202</v>
      </c>
      <c r="B456" s="17">
        <v>951</v>
      </c>
      <c r="C456" s="30" t="s">
        <v>221</v>
      </c>
      <c r="D456" s="30" t="s">
        <v>160</v>
      </c>
      <c r="E456" s="30" t="s">
        <v>737</v>
      </c>
      <c r="F456" s="30" t="s">
        <v>159</v>
      </c>
      <c r="G456" s="74">
        <f t="shared" si="37"/>
        <v>11158.894339999999</v>
      </c>
      <c r="H456" s="74"/>
      <c r="I456" s="74">
        <f>I457+I458</f>
        <v>11158.894339999999</v>
      </c>
    </row>
    <row r="457" spans="1:10" ht="30" customHeight="1">
      <c r="A457" s="14" t="s">
        <v>203</v>
      </c>
      <c r="B457" s="17" t="s">
        <v>177</v>
      </c>
      <c r="C457" s="30" t="s">
        <v>221</v>
      </c>
      <c r="D457" s="30" t="s">
        <v>160</v>
      </c>
      <c r="E457" s="30" t="s">
        <v>737</v>
      </c>
      <c r="F457" s="30" t="s">
        <v>204</v>
      </c>
      <c r="G457" s="74">
        <f t="shared" si="37"/>
        <v>9375.788869999998</v>
      </c>
      <c r="H457" s="74"/>
      <c r="I457" s="74">
        <f>9891.28906+240.04467-755.54486</f>
        <v>9375.788869999998</v>
      </c>
      <c r="J457" s="73"/>
    </row>
    <row r="458" spans="1:10" ht="34.5" customHeight="1">
      <c r="A458" s="14" t="s">
        <v>205</v>
      </c>
      <c r="B458" s="17">
        <v>951</v>
      </c>
      <c r="C458" s="30" t="s">
        <v>221</v>
      </c>
      <c r="D458" s="30" t="s">
        <v>160</v>
      </c>
      <c r="E458" s="30" t="s">
        <v>737</v>
      </c>
      <c r="F458" s="30" t="s">
        <v>206</v>
      </c>
      <c r="G458" s="74">
        <f t="shared" si="37"/>
        <v>1783.10547</v>
      </c>
      <c r="H458" s="74"/>
      <c r="I458" s="74">
        <f>2200-390.63453-26.26</f>
        <v>1783.10547</v>
      </c>
      <c r="J458" s="73"/>
    </row>
    <row r="459" spans="1:11" ht="85.5" customHeight="1" hidden="1">
      <c r="A459" s="45" t="s">
        <v>640</v>
      </c>
      <c r="B459" s="17">
        <v>951</v>
      </c>
      <c r="C459" s="30" t="s">
        <v>221</v>
      </c>
      <c r="D459" s="30" t="s">
        <v>160</v>
      </c>
      <c r="E459" s="30" t="s">
        <v>738</v>
      </c>
      <c r="F459" s="49" t="s">
        <v>398</v>
      </c>
      <c r="G459" s="83">
        <f>H459+I459</f>
        <v>0</v>
      </c>
      <c r="H459" s="83"/>
      <c r="I459" s="83">
        <f>I460+I462</f>
        <v>0</v>
      </c>
      <c r="K459" s="73"/>
    </row>
    <row r="460" spans="1:9" ht="30.75" customHeight="1" hidden="1">
      <c r="A460" s="14" t="s">
        <v>188</v>
      </c>
      <c r="B460" s="17" t="s">
        <v>177</v>
      </c>
      <c r="C460" s="30" t="s">
        <v>221</v>
      </c>
      <c r="D460" s="30" t="s">
        <v>160</v>
      </c>
      <c r="E460" s="30" t="s">
        <v>738</v>
      </c>
      <c r="F460" s="30" t="s">
        <v>158</v>
      </c>
      <c r="G460" s="74">
        <f>I460</f>
        <v>0</v>
      </c>
      <c r="H460" s="74"/>
      <c r="I460" s="74">
        <f>I461</f>
        <v>0</v>
      </c>
    </row>
    <row r="461" spans="1:10" ht="42.75" customHeight="1" hidden="1">
      <c r="A461" s="37" t="s">
        <v>189</v>
      </c>
      <c r="B461" s="17" t="s">
        <v>177</v>
      </c>
      <c r="C461" s="30" t="s">
        <v>221</v>
      </c>
      <c r="D461" s="30" t="s">
        <v>160</v>
      </c>
      <c r="E461" s="30" t="s">
        <v>738</v>
      </c>
      <c r="F461" s="30" t="s">
        <v>190</v>
      </c>
      <c r="G461" s="74">
        <f>I461</f>
        <v>0</v>
      </c>
      <c r="H461" s="74"/>
      <c r="I461" s="74">
        <v>0</v>
      </c>
      <c r="J461" s="73"/>
    </row>
    <row r="462" spans="1:9" ht="29.25" customHeight="1" hidden="1">
      <c r="A462" s="14" t="s">
        <v>202</v>
      </c>
      <c r="B462" s="17">
        <v>951</v>
      </c>
      <c r="C462" s="30" t="s">
        <v>221</v>
      </c>
      <c r="D462" s="30" t="s">
        <v>160</v>
      </c>
      <c r="E462" s="30" t="s">
        <v>738</v>
      </c>
      <c r="F462" s="30" t="s">
        <v>159</v>
      </c>
      <c r="G462" s="74">
        <f aca="true" t="shared" si="38" ref="G462:G470">H462+I462</f>
        <v>0</v>
      </c>
      <c r="H462" s="74"/>
      <c r="I462" s="74">
        <f>I463</f>
        <v>0</v>
      </c>
    </row>
    <row r="463" spans="1:9" ht="29.25" customHeight="1" hidden="1">
      <c r="A463" s="14" t="s">
        <v>203</v>
      </c>
      <c r="B463" s="17">
        <v>951</v>
      </c>
      <c r="C463" s="30" t="s">
        <v>221</v>
      </c>
      <c r="D463" s="30" t="s">
        <v>160</v>
      </c>
      <c r="E463" s="30" t="s">
        <v>738</v>
      </c>
      <c r="F463" s="30" t="s">
        <v>204</v>
      </c>
      <c r="G463" s="74">
        <f t="shared" si="38"/>
        <v>0</v>
      </c>
      <c r="H463" s="74"/>
      <c r="I463" s="74">
        <v>0</v>
      </c>
    </row>
    <row r="464" spans="1:9" ht="13.5">
      <c r="A464" s="68" t="s">
        <v>224</v>
      </c>
      <c r="B464" s="150">
        <v>951</v>
      </c>
      <c r="C464" s="69" t="s">
        <v>166</v>
      </c>
      <c r="D464" s="69" t="s">
        <v>150</v>
      </c>
      <c r="E464" s="69" t="s">
        <v>311</v>
      </c>
      <c r="F464" s="69" t="s">
        <v>398</v>
      </c>
      <c r="G464" s="107">
        <f t="shared" si="38"/>
        <v>5219.14563</v>
      </c>
      <c r="H464" s="82">
        <f>H465</f>
        <v>2030.84291</v>
      </c>
      <c r="I464" s="82">
        <f aca="true" t="shared" si="39" ref="H464:I468">I465</f>
        <v>3188.30272</v>
      </c>
    </row>
    <row r="465" spans="1:9" ht="13.5">
      <c r="A465" s="14" t="s">
        <v>334</v>
      </c>
      <c r="B465" s="17">
        <v>951</v>
      </c>
      <c r="C465" s="30" t="s">
        <v>166</v>
      </c>
      <c r="D465" s="30" t="s">
        <v>151</v>
      </c>
      <c r="E465" s="30" t="s">
        <v>311</v>
      </c>
      <c r="F465" s="30" t="s">
        <v>398</v>
      </c>
      <c r="G465" s="74">
        <f>H465+I465</f>
        <v>5219.14563</v>
      </c>
      <c r="H465" s="74">
        <f>H466</f>
        <v>2030.84291</v>
      </c>
      <c r="I465" s="74">
        <f t="shared" si="39"/>
        <v>3188.30272</v>
      </c>
    </row>
    <row r="466" spans="1:9" ht="43.5" customHeight="1">
      <c r="A466" s="45" t="s">
        <v>458</v>
      </c>
      <c r="B466" s="63">
        <v>951</v>
      </c>
      <c r="C466" s="49" t="s">
        <v>166</v>
      </c>
      <c r="D466" s="49" t="s">
        <v>151</v>
      </c>
      <c r="E466" s="49" t="s">
        <v>95</v>
      </c>
      <c r="F466" s="49" t="s">
        <v>398</v>
      </c>
      <c r="G466" s="83">
        <f t="shared" si="38"/>
        <v>5219.14563</v>
      </c>
      <c r="H466" s="83">
        <f>H467+H470+H481+H486+H493+H500</f>
        <v>2030.84291</v>
      </c>
      <c r="I466" s="83">
        <f>I467+I470+I481+I486+I493+I500</f>
        <v>3188.30272</v>
      </c>
    </row>
    <row r="467" spans="1:9" ht="30.75" customHeight="1">
      <c r="A467" s="14" t="s">
        <v>225</v>
      </c>
      <c r="B467" s="17">
        <v>951</v>
      </c>
      <c r="C467" s="30" t="s">
        <v>166</v>
      </c>
      <c r="D467" s="30" t="s">
        <v>151</v>
      </c>
      <c r="E467" s="30" t="s">
        <v>96</v>
      </c>
      <c r="F467" s="30" t="s">
        <v>398</v>
      </c>
      <c r="G467" s="74">
        <f t="shared" si="38"/>
        <v>150</v>
      </c>
      <c r="H467" s="74">
        <f t="shared" si="39"/>
        <v>150</v>
      </c>
      <c r="I467" s="74">
        <f t="shared" si="39"/>
        <v>0</v>
      </c>
    </row>
    <row r="468" spans="1:9" ht="30" customHeight="1">
      <c r="A468" s="14" t="s">
        <v>188</v>
      </c>
      <c r="B468" s="17">
        <v>951</v>
      </c>
      <c r="C468" s="30" t="s">
        <v>166</v>
      </c>
      <c r="D468" s="30" t="s">
        <v>151</v>
      </c>
      <c r="E468" s="30" t="s">
        <v>96</v>
      </c>
      <c r="F468" s="30" t="s">
        <v>158</v>
      </c>
      <c r="G468" s="74">
        <f t="shared" si="38"/>
        <v>150</v>
      </c>
      <c r="H468" s="74">
        <f t="shared" si="39"/>
        <v>150</v>
      </c>
      <c r="I468" s="74">
        <f t="shared" si="39"/>
        <v>0</v>
      </c>
    </row>
    <row r="469" spans="1:9" ht="41.25">
      <c r="A469" s="37" t="s">
        <v>189</v>
      </c>
      <c r="B469" s="17">
        <v>951</v>
      </c>
      <c r="C469" s="30" t="s">
        <v>166</v>
      </c>
      <c r="D469" s="30" t="s">
        <v>151</v>
      </c>
      <c r="E469" s="30" t="s">
        <v>96</v>
      </c>
      <c r="F469" s="30" t="s">
        <v>190</v>
      </c>
      <c r="G469" s="74">
        <f t="shared" si="38"/>
        <v>150</v>
      </c>
      <c r="H469" s="74">
        <f>150</f>
        <v>150</v>
      </c>
      <c r="I469" s="74"/>
    </row>
    <row r="470" spans="1:9" ht="41.25" hidden="1">
      <c r="A470" s="71" t="s">
        <v>575</v>
      </c>
      <c r="B470" s="17">
        <v>951</v>
      </c>
      <c r="C470" s="69" t="s">
        <v>166</v>
      </c>
      <c r="D470" s="69" t="s">
        <v>151</v>
      </c>
      <c r="E470" s="69" t="s">
        <v>95</v>
      </c>
      <c r="F470" s="69" t="s">
        <v>398</v>
      </c>
      <c r="G470" s="82">
        <f t="shared" si="38"/>
        <v>0</v>
      </c>
      <c r="H470" s="82">
        <f>H476</f>
        <v>0</v>
      </c>
      <c r="I470" s="82">
        <f>I471</f>
        <v>0</v>
      </c>
    </row>
    <row r="471" spans="1:9" ht="69.75" hidden="1">
      <c r="A471" s="46" t="s">
        <v>593</v>
      </c>
      <c r="B471" s="17">
        <v>951</v>
      </c>
      <c r="C471" s="49" t="s">
        <v>166</v>
      </c>
      <c r="D471" s="49" t="s">
        <v>151</v>
      </c>
      <c r="E471" s="49" t="s">
        <v>576</v>
      </c>
      <c r="F471" s="49" t="s">
        <v>398</v>
      </c>
      <c r="G471" s="83">
        <f>I471</f>
        <v>0</v>
      </c>
      <c r="H471" s="83"/>
      <c r="I471" s="83">
        <f>I472+I474</f>
        <v>0</v>
      </c>
    </row>
    <row r="472" spans="1:9" ht="41.25" hidden="1">
      <c r="A472" s="37" t="s">
        <v>571</v>
      </c>
      <c r="B472" s="17">
        <v>951</v>
      </c>
      <c r="C472" s="30" t="s">
        <v>166</v>
      </c>
      <c r="D472" s="30" t="s">
        <v>151</v>
      </c>
      <c r="E472" s="30" t="s">
        <v>576</v>
      </c>
      <c r="F472" s="30" t="s">
        <v>572</v>
      </c>
      <c r="G472" s="74">
        <f>I472</f>
        <v>0</v>
      </c>
      <c r="H472" s="74"/>
      <c r="I472" s="74">
        <f>I473</f>
        <v>0</v>
      </c>
    </row>
    <row r="473" spans="1:9" ht="13.5" hidden="1">
      <c r="A473" s="37" t="s">
        <v>573</v>
      </c>
      <c r="B473" s="17">
        <v>951</v>
      </c>
      <c r="C473" s="30" t="s">
        <v>166</v>
      </c>
      <c r="D473" s="30" t="s">
        <v>151</v>
      </c>
      <c r="E473" s="30" t="s">
        <v>576</v>
      </c>
      <c r="F473" s="30" t="s">
        <v>574</v>
      </c>
      <c r="G473" s="74">
        <f>I473</f>
        <v>0</v>
      </c>
      <c r="H473" s="74"/>
      <c r="I473" s="74">
        <v>0</v>
      </c>
    </row>
    <row r="474" spans="1:9" ht="41.25" hidden="1">
      <c r="A474" s="14" t="s">
        <v>577</v>
      </c>
      <c r="B474" s="17">
        <v>952</v>
      </c>
      <c r="C474" s="30" t="s">
        <v>166</v>
      </c>
      <c r="D474" s="30" t="s">
        <v>151</v>
      </c>
      <c r="E474" s="30" t="s">
        <v>576</v>
      </c>
      <c r="F474" s="30" t="s">
        <v>212</v>
      </c>
      <c r="G474" s="74">
        <f>I474</f>
        <v>0</v>
      </c>
      <c r="H474" s="74"/>
      <c r="I474" s="74">
        <f>I475</f>
        <v>0</v>
      </c>
    </row>
    <row r="475" spans="1:9" ht="15.75" customHeight="1" hidden="1">
      <c r="A475" s="14" t="s">
        <v>176</v>
      </c>
      <c r="B475" s="17">
        <v>953</v>
      </c>
      <c r="C475" s="30" t="s">
        <v>166</v>
      </c>
      <c r="D475" s="30" t="s">
        <v>151</v>
      </c>
      <c r="E475" s="30" t="s">
        <v>576</v>
      </c>
      <c r="F475" s="30" t="s">
        <v>279</v>
      </c>
      <c r="G475" s="74">
        <f>I475</f>
        <v>0</v>
      </c>
      <c r="H475" s="74"/>
      <c r="I475" s="74">
        <v>0</v>
      </c>
    </row>
    <row r="476" spans="1:9" ht="87" customHeight="1" hidden="1">
      <c r="A476" s="46" t="s">
        <v>594</v>
      </c>
      <c r="B476" s="17">
        <v>951</v>
      </c>
      <c r="C476" s="49" t="s">
        <v>166</v>
      </c>
      <c r="D476" s="49" t="s">
        <v>151</v>
      </c>
      <c r="E476" s="49" t="s">
        <v>578</v>
      </c>
      <c r="F476" s="49" t="s">
        <v>398</v>
      </c>
      <c r="G476" s="83">
        <f>H476</f>
        <v>0</v>
      </c>
      <c r="H476" s="83">
        <f>H477+H479</f>
        <v>0</v>
      </c>
      <c r="I476" s="83"/>
    </row>
    <row r="477" spans="1:9" ht="41.25" hidden="1">
      <c r="A477" s="37" t="s">
        <v>571</v>
      </c>
      <c r="B477" s="17">
        <v>951</v>
      </c>
      <c r="C477" s="30" t="s">
        <v>166</v>
      </c>
      <c r="D477" s="30" t="s">
        <v>151</v>
      </c>
      <c r="E477" s="30" t="s">
        <v>578</v>
      </c>
      <c r="F477" s="30" t="s">
        <v>572</v>
      </c>
      <c r="G477" s="74">
        <f>H477</f>
        <v>0</v>
      </c>
      <c r="H477" s="74">
        <f>H478</f>
        <v>0</v>
      </c>
      <c r="I477" s="74"/>
    </row>
    <row r="478" spans="1:9" ht="13.5" hidden="1">
      <c r="A478" s="37" t="s">
        <v>573</v>
      </c>
      <c r="B478" s="17">
        <v>951</v>
      </c>
      <c r="C478" s="30" t="s">
        <v>166</v>
      </c>
      <c r="D478" s="30" t="s">
        <v>151</v>
      </c>
      <c r="E478" s="30" t="s">
        <v>578</v>
      </c>
      <c r="F478" s="30" t="s">
        <v>574</v>
      </c>
      <c r="G478" s="74">
        <f>H478</f>
        <v>0</v>
      </c>
      <c r="H478" s="74">
        <f>43+43+40-40-86</f>
        <v>0</v>
      </c>
      <c r="I478" s="74"/>
    </row>
    <row r="479" spans="1:9" ht="42" customHeight="1" hidden="1">
      <c r="A479" s="14" t="s">
        <v>577</v>
      </c>
      <c r="B479" s="17">
        <v>952</v>
      </c>
      <c r="C479" s="30" t="s">
        <v>166</v>
      </c>
      <c r="D479" s="30" t="s">
        <v>151</v>
      </c>
      <c r="E479" s="30" t="s">
        <v>578</v>
      </c>
      <c r="F479" s="30" t="s">
        <v>212</v>
      </c>
      <c r="G479" s="74">
        <f>H479</f>
        <v>0</v>
      </c>
      <c r="H479" s="74">
        <f>H480</f>
        <v>0</v>
      </c>
      <c r="I479" s="74"/>
    </row>
    <row r="480" spans="1:9" ht="15" customHeight="1" hidden="1">
      <c r="A480" s="14" t="s">
        <v>176</v>
      </c>
      <c r="B480" s="17">
        <v>953</v>
      </c>
      <c r="C480" s="30" t="s">
        <v>166</v>
      </c>
      <c r="D480" s="30" t="s">
        <v>151</v>
      </c>
      <c r="E480" s="30" t="s">
        <v>578</v>
      </c>
      <c r="F480" s="30" t="s">
        <v>279</v>
      </c>
      <c r="G480" s="74">
        <f>H480</f>
        <v>0</v>
      </c>
      <c r="H480" s="74">
        <v>0</v>
      </c>
      <c r="I480" s="74"/>
    </row>
    <row r="481" spans="1:9" ht="45" customHeight="1">
      <c r="A481" s="45" t="s">
        <v>708</v>
      </c>
      <c r="B481" s="63">
        <v>951</v>
      </c>
      <c r="C481" s="49" t="s">
        <v>166</v>
      </c>
      <c r="D481" s="49" t="s">
        <v>151</v>
      </c>
      <c r="E481" s="49" t="s">
        <v>704</v>
      </c>
      <c r="F481" s="49" t="s">
        <v>398</v>
      </c>
      <c r="G481" s="83">
        <f>H481+I481</f>
        <v>1848.6378300000001</v>
      </c>
      <c r="H481" s="83">
        <f>H482+H484</f>
        <v>1848.6378300000001</v>
      </c>
      <c r="I481" s="74"/>
    </row>
    <row r="482" spans="1:9" ht="30" customHeight="1">
      <c r="A482" s="14" t="s">
        <v>188</v>
      </c>
      <c r="B482" s="17">
        <v>951</v>
      </c>
      <c r="C482" s="30" t="s">
        <v>166</v>
      </c>
      <c r="D482" s="30" t="s">
        <v>151</v>
      </c>
      <c r="E482" s="30" t="s">
        <v>704</v>
      </c>
      <c r="F482" s="30" t="s">
        <v>158</v>
      </c>
      <c r="G482" s="74">
        <f>H482+I482</f>
        <v>30</v>
      </c>
      <c r="H482" s="74">
        <f>H483</f>
        <v>30</v>
      </c>
      <c r="I482" s="74"/>
    </row>
    <row r="483" spans="1:9" ht="42" customHeight="1">
      <c r="A483" s="37" t="s">
        <v>189</v>
      </c>
      <c r="B483" s="17">
        <v>951</v>
      </c>
      <c r="C483" s="30" t="s">
        <v>166</v>
      </c>
      <c r="D483" s="30" t="s">
        <v>151</v>
      </c>
      <c r="E483" s="30" t="s">
        <v>704</v>
      </c>
      <c r="F483" s="30" t="s">
        <v>190</v>
      </c>
      <c r="G483" s="74">
        <f>H483+I483</f>
        <v>30</v>
      </c>
      <c r="H483" s="74">
        <f>153-123</f>
        <v>30</v>
      </c>
      <c r="I483" s="74"/>
    </row>
    <row r="484" spans="1:9" ht="42" customHeight="1">
      <c r="A484" s="37" t="s">
        <v>571</v>
      </c>
      <c r="B484" s="17" t="s">
        <v>177</v>
      </c>
      <c r="C484" s="30" t="s">
        <v>166</v>
      </c>
      <c r="D484" s="30" t="s">
        <v>151</v>
      </c>
      <c r="E484" s="30" t="s">
        <v>704</v>
      </c>
      <c r="F484" s="30" t="s">
        <v>572</v>
      </c>
      <c r="G484" s="74">
        <f>H484</f>
        <v>1818.6378300000001</v>
      </c>
      <c r="H484" s="74">
        <f>H485</f>
        <v>1818.6378300000001</v>
      </c>
      <c r="I484" s="74"/>
    </row>
    <row r="485" spans="1:9" ht="16.5" customHeight="1">
      <c r="A485" s="37" t="s">
        <v>573</v>
      </c>
      <c r="B485" s="17" t="s">
        <v>177</v>
      </c>
      <c r="C485" s="30" t="s">
        <v>166</v>
      </c>
      <c r="D485" s="30" t="s">
        <v>151</v>
      </c>
      <c r="E485" s="30" t="s">
        <v>704</v>
      </c>
      <c r="F485" s="30" t="s">
        <v>574</v>
      </c>
      <c r="G485" s="74">
        <f>H485</f>
        <v>1818.6378300000001</v>
      </c>
      <c r="H485" s="74">
        <f>1846.892-28.25417</f>
        <v>1818.6378300000001</v>
      </c>
      <c r="I485" s="74"/>
    </row>
    <row r="486" spans="1:9" ht="45" customHeight="1">
      <c r="A486" s="68" t="s">
        <v>896</v>
      </c>
      <c r="B486" s="75">
        <v>951</v>
      </c>
      <c r="C486" s="69" t="s">
        <v>166</v>
      </c>
      <c r="D486" s="69" t="s">
        <v>151</v>
      </c>
      <c r="E486" s="69" t="s">
        <v>95</v>
      </c>
      <c r="F486" s="69" t="s">
        <v>398</v>
      </c>
      <c r="G486" s="82">
        <f>H486+I486</f>
        <v>2870.5078000000003</v>
      </c>
      <c r="H486" s="82">
        <f>H490</f>
        <v>28.70508</v>
      </c>
      <c r="I486" s="82">
        <f>I487</f>
        <v>2841.80272</v>
      </c>
    </row>
    <row r="487" spans="1:9" ht="86.25" customHeight="1">
      <c r="A487" s="46" t="s">
        <v>912</v>
      </c>
      <c r="B487" s="63">
        <v>951</v>
      </c>
      <c r="C487" s="49" t="s">
        <v>166</v>
      </c>
      <c r="D487" s="49" t="s">
        <v>151</v>
      </c>
      <c r="E487" s="49" t="s">
        <v>829</v>
      </c>
      <c r="F487" s="49" t="s">
        <v>398</v>
      </c>
      <c r="G487" s="83">
        <f aca="true" t="shared" si="40" ref="G487:G492">H487+I487</f>
        <v>2841.80272</v>
      </c>
      <c r="H487" s="83"/>
      <c r="I487" s="83">
        <f>I488</f>
        <v>2841.80272</v>
      </c>
    </row>
    <row r="488" spans="1:9" ht="27.75" customHeight="1">
      <c r="A488" s="14" t="s">
        <v>188</v>
      </c>
      <c r="B488" s="17">
        <v>951</v>
      </c>
      <c r="C488" s="30" t="s">
        <v>166</v>
      </c>
      <c r="D488" s="30" t="s">
        <v>151</v>
      </c>
      <c r="E488" s="30" t="s">
        <v>829</v>
      </c>
      <c r="F488" s="30" t="s">
        <v>158</v>
      </c>
      <c r="G488" s="74">
        <f t="shared" si="40"/>
        <v>2841.80272</v>
      </c>
      <c r="H488" s="74"/>
      <c r="I488" s="74">
        <f>I489</f>
        <v>2841.80272</v>
      </c>
    </row>
    <row r="489" spans="1:9" ht="44.25" customHeight="1">
      <c r="A489" s="37" t="s">
        <v>189</v>
      </c>
      <c r="B489" s="17">
        <v>951</v>
      </c>
      <c r="C489" s="30" t="s">
        <v>166</v>
      </c>
      <c r="D489" s="30" t="s">
        <v>151</v>
      </c>
      <c r="E489" s="30" t="s">
        <v>829</v>
      </c>
      <c r="F489" s="30" t="s">
        <v>190</v>
      </c>
      <c r="G489" s="74">
        <f t="shared" si="40"/>
        <v>2841.80272</v>
      </c>
      <c r="H489" s="74"/>
      <c r="I489" s="74">
        <v>2841.80272</v>
      </c>
    </row>
    <row r="490" spans="1:9" ht="59.25" customHeight="1">
      <c r="A490" s="45" t="s">
        <v>913</v>
      </c>
      <c r="B490" s="63">
        <v>951</v>
      </c>
      <c r="C490" s="49" t="s">
        <v>166</v>
      </c>
      <c r="D490" s="49" t="s">
        <v>151</v>
      </c>
      <c r="E490" s="49" t="s">
        <v>829</v>
      </c>
      <c r="F490" s="49" t="s">
        <v>398</v>
      </c>
      <c r="G490" s="83">
        <f t="shared" si="40"/>
        <v>28.70508</v>
      </c>
      <c r="H490" s="83">
        <f>H491</f>
        <v>28.70508</v>
      </c>
      <c r="I490" s="83"/>
    </row>
    <row r="491" spans="1:9" ht="36.75" customHeight="1">
      <c r="A491" s="14" t="s">
        <v>188</v>
      </c>
      <c r="B491" s="17">
        <v>951</v>
      </c>
      <c r="C491" s="30" t="s">
        <v>166</v>
      </c>
      <c r="D491" s="30" t="s">
        <v>151</v>
      </c>
      <c r="E491" s="30" t="s">
        <v>829</v>
      </c>
      <c r="F491" s="30" t="s">
        <v>158</v>
      </c>
      <c r="G491" s="74">
        <f t="shared" si="40"/>
        <v>28.70508</v>
      </c>
      <c r="H491" s="74">
        <f>H492</f>
        <v>28.70508</v>
      </c>
      <c r="I491" s="74"/>
    </row>
    <row r="492" spans="1:9" ht="43.5" customHeight="1">
      <c r="A492" s="37" t="s">
        <v>189</v>
      </c>
      <c r="B492" s="17">
        <v>951</v>
      </c>
      <c r="C492" s="30" t="s">
        <v>166</v>
      </c>
      <c r="D492" s="30" t="s">
        <v>151</v>
      </c>
      <c r="E492" s="30" t="s">
        <v>829</v>
      </c>
      <c r="F492" s="30" t="s">
        <v>190</v>
      </c>
      <c r="G492" s="74">
        <f t="shared" si="40"/>
        <v>28.70508</v>
      </c>
      <c r="H492" s="74">
        <v>28.70508</v>
      </c>
      <c r="I492" s="74"/>
    </row>
    <row r="493" spans="1:9" ht="58.5" customHeight="1">
      <c r="A493" s="71" t="s">
        <v>888</v>
      </c>
      <c r="B493" s="75">
        <v>951</v>
      </c>
      <c r="C493" s="69" t="s">
        <v>166</v>
      </c>
      <c r="D493" s="69" t="s">
        <v>151</v>
      </c>
      <c r="E493" s="69" t="s">
        <v>95</v>
      </c>
      <c r="F493" s="69" t="s">
        <v>398</v>
      </c>
      <c r="G493" s="82">
        <f>H493+I493</f>
        <v>350</v>
      </c>
      <c r="H493" s="82">
        <f>H497</f>
        <v>3.5</v>
      </c>
      <c r="I493" s="82">
        <f>I494</f>
        <v>346.5</v>
      </c>
    </row>
    <row r="494" spans="1:9" ht="85.5" customHeight="1">
      <c r="A494" s="46" t="s">
        <v>914</v>
      </c>
      <c r="B494" s="63">
        <v>951</v>
      </c>
      <c r="C494" s="49" t="s">
        <v>166</v>
      </c>
      <c r="D494" s="49" t="s">
        <v>151</v>
      </c>
      <c r="E494" s="49" t="s">
        <v>830</v>
      </c>
      <c r="F494" s="49" t="s">
        <v>398</v>
      </c>
      <c r="G494" s="83">
        <f>I494</f>
        <v>346.5</v>
      </c>
      <c r="H494" s="83"/>
      <c r="I494" s="83">
        <f>I495</f>
        <v>346.5</v>
      </c>
    </row>
    <row r="495" spans="1:9" ht="30" customHeight="1">
      <c r="A495" s="14" t="s">
        <v>188</v>
      </c>
      <c r="B495" s="17">
        <v>951</v>
      </c>
      <c r="C495" s="30" t="s">
        <v>166</v>
      </c>
      <c r="D495" s="30" t="s">
        <v>151</v>
      </c>
      <c r="E495" s="30" t="s">
        <v>830</v>
      </c>
      <c r="F495" s="30" t="s">
        <v>158</v>
      </c>
      <c r="G495" s="74">
        <f>I495</f>
        <v>346.5</v>
      </c>
      <c r="H495" s="74"/>
      <c r="I495" s="74">
        <f>I496</f>
        <v>346.5</v>
      </c>
    </row>
    <row r="496" spans="1:9" ht="43.5" customHeight="1">
      <c r="A496" s="37" t="s">
        <v>189</v>
      </c>
      <c r="B496" s="17">
        <v>951</v>
      </c>
      <c r="C496" s="30" t="s">
        <v>166</v>
      </c>
      <c r="D496" s="30" t="s">
        <v>151</v>
      </c>
      <c r="E496" s="30" t="s">
        <v>830</v>
      </c>
      <c r="F496" s="30" t="s">
        <v>190</v>
      </c>
      <c r="G496" s="74">
        <f>I496</f>
        <v>346.5</v>
      </c>
      <c r="H496" s="74"/>
      <c r="I496" s="74">
        <v>346.5</v>
      </c>
    </row>
    <row r="497" spans="1:9" ht="112.5" customHeight="1">
      <c r="A497" s="46" t="s">
        <v>915</v>
      </c>
      <c r="B497" s="63">
        <v>951</v>
      </c>
      <c r="C497" s="49" t="s">
        <v>166</v>
      </c>
      <c r="D497" s="49" t="s">
        <v>151</v>
      </c>
      <c r="E497" s="49" t="s">
        <v>894</v>
      </c>
      <c r="F497" s="49" t="s">
        <v>398</v>
      </c>
      <c r="G497" s="83">
        <f>H497</f>
        <v>3.5</v>
      </c>
      <c r="H497" s="83">
        <f>H498</f>
        <v>3.5</v>
      </c>
      <c r="I497" s="83"/>
    </row>
    <row r="498" spans="1:9" ht="33" customHeight="1">
      <c r="A498" s="14" t="s">
        <v>188</v>
      </c>
      <c r="B498" s="17">
        <v>951</v>
      </c>
      <c r="C498" s="30" t="s">
        <v>166</v>
      </c>
      <c r="D498" s="30" t="s">
        <v>151</v>
      </c>
      <c r="E498" s="30" t="s">
        <v>894</v>
      </c>
      <c r="F498" s="30" t="s">
        <v>158</v>
      </c>
      <c r="G498" s="74">
        <f>H498</f>
        <v>3.5</v>
      </c>
      <c r="H498" s="74">
        <f>H499</f>
        <v>3.5</v>
      </c>
      <c r="I498" s="74"/>
    </row>
    <row r="499" spans="1:9" ht="43.5" customHeight="1">
      <c r="A499" s="37" t="s">
        <v>189</v>
      </c>
      <c r="B499" s="17">
        <v>951</v>
      </c>
      <c r="C499" s="30" t="s">
        <v>166</v>
      </c>
      <c r="D499" s="30" t="s">
        <v>151</v>
      </c>
      <c r="E499" s="30" t="s">
        <v>894</v>
      </c>
      <c r="F499" s="30" t="s">
        <v>190</v>
      </c>
      <c r="G499" s="74">
        <f>H499</f>
        <v>3.5</v>
      </c>
      <c r="H499" s="74">
        <v>3.5</v>
      </c>
      <c r="I499" s="74"/>
    </row>
    <row r="500" spans="1:9" ht="32.25" customHeight="1" hidden="1">
      <c r="A500" s="71" t="s">
        <v>895</v>
      </c>
      <c r="B500" s="75">
        <v>951</v>
      </c>
      <c r="C500" s="69" t="s">
        <v>166</v>
      </c>
      <c r="D500" s="69" t="s">
        <v>151</v>
      </c>
      <c r="E500" s="69" t="s">
        <v>311</v>
      </c>
      <c r="F500" s="69" t="s">
        <v>398</v>
      </c>
      <c r="G500" s="82">
        <f>H500+I500</f>
        <v>0</v>
      </c>
      <c r="H500" s="82">
        <f>H504</f>
        <v>0</v>
      </c>
      <c r="I500" s="82">
        <f>I501</f>
        <v>0</v>
      </c>
    </row>
    <row r="501" spans="1:9" ht="43.5" customHeight="1" hidden="1">
      <c r="A501" s="46" t="s">
        <v>910</v>
      </c>
      <c r="B501" s="17">
        <v>951</v>
      </c>
      <c r="C501" s="30" t="s">
        <v>166</v>
      </c>
      <c r="D501" s="30" t="s">
        <v>151</v>
      </c>
      <c r="E501" s="30" t="s">
        <v>911</v>
      </c>
      <c r="F501" s="30" t="s">
        <v>398</v>
      </c>
      <c r="G501" s="74">
        <f aca="true" t="shared" si="41" ref="G501:G506">H501+I501</f>
        <v>0</v>
      </c>
      <c r="H501" s="74"/>
      <c r="I501" s="74">
        <f>I502</f>
        <v>0</v>
      </c>
    </row>
    <row r="502" spans="1:9" ht="36" customHeight="1" hidden="1">
      <c r="A502" s="14" t="s">
        <v>188</v>
      </c>
      <c r="B502" s="17">
        <v>951</v>
      </c>
      <c r="C502" s="30" t="s">
        <v>166</v>
      </c>
      <c r="D502" s="30" t="s">
        <v>151</v>
      </c>
      <c r="E502" s="30" t="s">
        <v>911</v>
      </c>
      <c r="F502" s="30" t="s">
        <v>158</v>
      </c>
      <c r="G502" s="74">
        <f t="shared" si="41"/>
        <v>0</v>
      </c>
      <c r="H502" s="74"/>
      <c r="I502" s="74">
        <f>I503</f>
        <v>0</v>
      </c>
    </row>
    <row r="503" spans="1:9" ht="43.5" customHeight="1" hidden="1">
      <c r="A503" s="37" t="s">
        <v>189</v>
      </c>
      <c r="B503" s="17">
        <v>951</v>
      </c>
      <c r="C503" s="30" t="s">
        <v>166</v>
      </c>
      <c r="D503" s="30" t="s">
        <v>151</v>
      </c>
      <c r="E503" s="30" t="s">
        <v>911</v>
      </c>
      <c r="F503" s="30" t="s">
        <v>190</v>
      </c>
      <c r="G503" s="74">
        <f t="shared" si="41"/>
        <v>0</v>
      </c>
      <c r="H503" s="74"/>
      <c r="I503" s="74"/>
    </row>
    <row r="504" spans="1:9" ht="71.25" customHeight="1" hidden="1">
      <c r="A504" s="46" t="s">
        <v>900</v>
      </c>
      <c r="B504" s="17">
        <v>951</v>
      </c>
      <c r="C504" s="49" t="s">
        <v>166</v>
      </c>
      <c r="D504" s="49" t="s">
        <v>151</v>
      </c>
      <c r="E504" s="30" t="s">
        <v>909</v>
      </c>
      <c r="F504" s="30" t="s">
        <v>398</v>
      </c>
      <c r="G504" s="74">
        <f t="shared" si="41"/>
        <v>0</v>
      </c>
      <c r="H504" s="74">
        <f>H505</f>
        <v>0</v>
      </c>
      <c r="I504" s="74"/>
    </row>
    <row r="505" spans="1:9" ht="32.25" customHeight="1" hidden="1">
      <c r="A505" s="14" t="s">
        <v>188</v>
      </c>
      <c r="B505" s="17">
        <v>951</v>
      </c>
      <c r="C505" s="30" t="s">
        <v>166</v>
      </c>
      <c r="D505" s="30" t="s">
        <v>151</v>
      </c>
      <c r="E505" s="30" t="s">
        <v>909</v>
      </c>
      <c r="F505" s="30" t="s">
        <v>158</v>
      </c>
      <c r="G505" s="74">
        <f t="shared" si="41"/>
        <v>0</v>
      </c>
      <c r="H505" s="74">
        <f>H506</f>
        <v>0</v>
      </c>
      <c r="I505" s="74"/>
    </row>
    <row r="506" spans="1:9" ht="43.5" customHeight="1" hidden="1">
      <c r="A506" s="37" t="s">
        <v>189</v>
      </c>
      <c r="B506" s="17">
        <v>951</v>
      </c>
      <c r="C506" s="30" t="s">
        <v>166</v>
      </c>
      <c r="D506" s="30" t="s">
        <v>151</v>
      </c>
      <c r="E506" s="30" t="s">
        <v>909</v>
      </c>
      <c r="F506" s="30" t="s">
        <v>190</v>
      </c>
      <c r="G506" s="74">
        <f t="shared" si="41"/>
        <v>0</v>
      </c>
      <c r="H506" s="74">
        <f>37.5-37.5</f>
        <v>0</v>
      </c>
      <c r="I506" s="74"/>
    </row>
    <row r="507" spans="1:9" ht="36" customHeight="1">
      <c r="A507" s="68" t="s">
        <v>226</v>
      </c>
      <c r="B507" s="150">
        <v>951</v>
      </c>
      <c r="C507" s="69" t="s">
        <v>168</v>
      </c>
      <c r="D507" s="69" t="s">
        <v>150</v>
      </c>
      <c r="E507" s="69" t="s">
        <v>311</v>
      </c>
      <c r="F507" s="69" t="s">
        <v>398</v>
      </c>
      <c r="G507" s="107">
        <f aca="true" t="shared" si="42" ref="G507:G546">H507+I507</f>
        <v>82</v>
      </c>
      <c r="H507" s="82">
        <f aca="true" t="shared" si="43" ref="H507:I511">H508</f>
        <v>82</v>
      </c>
      <c r="I507" s="82">
        <f t="shared" si="43"/>
        <v>0</v>
      </c>
    </row>
    <row r="508" spans="1:9" ht="69">
      <c r="A508" s="45" t="s">
        <v>521</v>
      </c>
      <c r="B508" s="66">
        <v>951</v>
      </c>
      <c r="C508" s="30" t="s">
        <v>168</v>
      </c>
      <c r="D508" s="30" t="s">
        <v>149</v>
      </c>
      <c r="E508" s="30" t="s">
        <v>311</v>
      </c>
      <c r="F508" s="30" t="s">
        <v>398</v>
      </c>
      <c r="G508" s="74">
        <f t="shared" si="42"/>
        <v>82</v>
      </c>
      <c r="H508" s="95">
        <f t="shared" si="43"/>
        <v>82</v>
      </c>
      <c r="I508" s="95">
        <f t="shared" si="43"/>
        <v>0</v>
      </c>
    </row>
    <row r="509" spans="1:9" ht="27">
      <c r="A509" s="14" t="s">
        <v>345</v>
      </c>
      <c r="B509" s="66">
        <v>951</v>
      </c>
      <c r="C509" s="30" t="s">
        <v>168</v>
      </c>
      <c r="D509" s="30" t="s">
        <v>149</v>
      </c>
      <c r="E509" s="30" t="s">
        <v>501</v>
      </c>
      <c r="F509" s="30" t="s">
        <v>398</v>
      </c>
      <c r="G509" s="74">
        <f t="shared" si="42"/>
        <v>82</v>
      </c>
      <c r="H509" s="95">
        <f t="shared" si="43"/>
        <v>82</v>
      </c>
      <c r="I509" s="95">
        <f t="shared" si="43"/>
        <v>0</v>
      </c>
    </row>
    <row r="510" spans="1:9" ht="13.5">
      <c r="A510" s="14" t="s">
        <v>227</v>
      </c>
      <c r="B510" s="66">
        <v>951</v>
      </c>
      <c r="C510" s="30" t="s">
        <v>168</v>
      </c>
      <c r="D510" s="30" t="s">
        <v>149</v>
      </c>
      <c r="E510" s="30" t="s">
        <v>501</v>
      </c>
      <c r="F510" s="30" t="s">
        <v>398</v>
      </c>
      <c r="G510" s="74">
        <f t="shared" si="42"/>
        <v>82</v>
      </c>
      <c r="H510" s="95">
        <f t="shared" si="43"/>
        <v>82</v>
      </c>
      <c r="I510" s="95">
        <f t="shared" si="43"/>
        <v>0</v>
      </c>
    </row>
    <row r="511" spans="1:9" ht="30.75" customHeight="1">
      <c r="A511" s="14" t="s">
        <v>207</v>
      </c>
      <c r="B511" s="66">
        <v>951</v>
      </c>
      <c r="C511" s="30" t="s">
        <v>168</v>
      </c>
      <c r="D511" s="30" t="s">
        <v>149</v>
      </c>
      <c r="E511" s="30" t="s">
        <v>501</v>
      </c>
      <c r="F511" s="30" t="s">
        <v>208</v>
      </c>
      <c r="G511" s="74">
        <f t="shared" si="42"/>
        <v>82</v>
      </c>
      <c r="H511" s="95">
        <f t="shared" si="43"/>
        <v>82</v>
      </c>
      <c r="I511" s="95">
        <f t="shared" si="43"/>
        <v>0</v>
      </c>
    </row>
    <row r="512" spans="1:9" ht="18.75" customHeight="1">
      <c r="A512" s="14" t="s">
        <v>228</v>
      </c>
      <c r="B512" s="66">
        <v>951</v>
      </c>
      <c r="C512" s="30" t="s">
        <v>168</v>
      </c>
      <c r="D512" s="30" t="s">
        <v>149</v>
      </c>
      <c r="E512" s="30" t="s">
        <v>501</v>
      </c>
      <c r="F512" s="30" t="s">
        <v>321</v>
      </c>
      <c r="G512" s="74">
        <f t="shared" si="42"/>
        <v>82</v>
      </c>
      <c r="H512" s="74">
        <f>460-378</f>
        <v>82</v>
      </c>
      <c r="I512" s="95"/>
    </row>
    <row r="513" spans="1:11" ht="30" customHeight="1">
      <c r="A513" s="321" t="s">
        <v>386</v>
      </c>
      <c r="B513" s="150" t="s">
        <v>399</v>
      </c>
      <c r="C513" s="150" t="s">
        <v>150</v>
      </c>
      <c r="D513" s="150" t="s">
        <v>150</v>
      </c>
      <c r="E513" s="150" t="s">
        <v>311</v>
      </c>
      <c r="F513" s="150" t="s">
        <v>398</v>
      </c>
      <c r="G513" s="82">
        <f t="shared" si="42"/>
        <v>3612.7826800000003</v>
      </c>
      <c r="H513" s="107">
        <f>H514</f>
        <v>3612.7826800000003</v>
      </c>
      <c r="I513" s="107">
        <f aca="true" t="shared" si="44" ref="H513:I515">I514</f>
        <v>0</v>
      </c>
      <c r="K513" s="73"/>
    </row>
    <row r="514" spans="1:9" ht="54.75">
      <c r="A514" s="14" t="s">
        <v>155</v>
      </c>
      <c r="B514" s="66" t="s">
        <v>399</v>
      </c>
      <c r="C514" s="30" t="s">
        <v>149</v>
      </c>
      <c r="D514" s="30" t="s">
        <v>156</v>
      </c>
      <c r="E514" s="30" t="s">
        <v>311</v>
      </c>
      <c r="F514" s="30" t="s">
        <v>398</v>
      </c>
      <c r="G514" s="74">
        <f t="shared" si="42"/>
        <v>3612.7826800000003</v>
      </c>
      <c r="H514" s="74">
        <f t="shared" si="44"/>
        <v>3612.7826800000003</v>
      </c>
      <c r="I514" s="74">
        <f t="shared" si="44"/>
        <v>0</v>
      </c>
    </row>
    <row r="515" spans="1:9" ht="27">
      <c r="A515" s="14" t="s">
        <v>152</v>
      </c>
      <c r="B515" s="66" t="s">
        <v>399</v>
      </c>
      <c r="C515" s="30" t="s">
        <v>149</v>
      </c>
      <c r="D515" s="30" t="s">
        <v>156</v>
      </c>
      <c r="E515" s="30" t="s">
        <v>17</v>
      </c>
      <c r="F515" s="30" t="s">
        <v>398</v>
      </c>
      <c r="G515" s="74">
        <f t="shared" si="42"/>
        <v>3612.7826800000003</v>
      </c>
      <c r="H515" s="95">
        <f t="shared" si="44"/>
        <v>3612.7826800000003</v>
      </c>
      <c r="I515" s="95">
        <f t="shared" si="44"/>
        <v>0</v>
      </c>
    </row>
    <row r="516" spans="1:9" ht="41.25">
      <c r="A516" s="14" t="s">
        <v>153</v>
      </c>
      <c r="B516" s="66" t="s">
        <v>399</v>
      </c>
      <c r="C516" s="30" t="s">
        <v>149</v>
      </c>
      <c r="D516" s="30" t="s">
        <v>156</v>
      </c>
      <c r="E516" s="30" t="s">
        <v>18</v>
      </c>
      <c r="F516" s="30" t="s">
        <v>398</v>
      </c>
      <c r="G516" s="74">
        <f t="shared" si="42"/>
        <v>3612.7826800000003</v>
      </c>
      <c r="H516" s="95">
        <f>H522+H517</f>
        <v>3612.7826800000003</v>
      </c>
      <c r="I516" s="95">
        <f>I522</f>
        <v>0</v>
      </c>
    </row>
    <row r="517" spans="1:11" ht="27">
      <c r="A517" s="14" t="s">
        <v>180</v>
      </c>
      <c r="B517" s="66" t="s">
        <v>399</v>
      </c>
      <c r="C517" s="30" t="s">
        <v>149</v>
      </c>
      <c r="D517" s="30" t="s">
        <v>156</v>
      </c>
      <c r="E517" s="30" t="s">
        <v>20</v>
      </c>
      <c r="F517" s="30" t="s">
        <v>398</v>
      </c>
      <c r="G517" s="74">
        <f t="shared" si="42"/>
        <v>1797.8380300000001</v>
      </c>
      <c r="H517" s="95">
        <f>H518+H520</f>
        <v>1797.8380300000001</v>
      </c>
      <c r="I517" s="95">
        <f>I518+I520</f>
        <v>0</v>
      </c>
      <c r="K517" s="73"/>
    </row>
    <row r="518" spans="1:10" ht="76.5" customHeight="1">
      <c r="A518" s="14" t="s">
        <v>185</v>
      </c>
      <c r="B518" s="66" t="s">
        <v>399</v>
      </c>
      <c r="C518" s="30" t="s">
        <v>149</v>
      </c>
      <c r="D518" s="30" t="s">
        <v>156</v>
      </c>
      <c r="E518" s="30" t="s">
        <v>20</v>
      </c>
      <c r="F518" s="30" t="s">
        <v>154</v>
      </c>
      <c r="G518" s="74">
        <f t="shared" si="42"/>
        <v>1797.8380300000001</v>
      </c>
      <c r="H518" s="95">
        <f>H519</f>
        <v>1797.8380300000001</v>
      </c>
      <c r="I518" s="95">
        <v>0</v>
      </c>
      <c r="J518" s="73"/>
    </row>
    <row r="519" spans="1:9" ht="33" customHeight="1">
      <c r="A519" s="14" t="s">
        <v>187</v>
      </c>
      <c r="B519" s="66" t="s">
        <v>399</v>
      </c>
      <c r="C519" s="30" t="s">
        <v>149</v>
      </c>
      <c r="D519" s="30" t="s">
        <v>156</v>
      </c>
      <c r="E519" s="30" t="s">
        <v>20</v>
      </c>
      <c r="F519" s="30" t="s">
        <v>186</v>
      </c>
      <c r="G519" s="74">
        <f t="shared" si="42"/>
        <v>1797.8380300000001</v>
      </c>
      <c r="H519" s="95">
        <f>1749.503-2.5-10+46.72429+14.11074</f>
        <v>1797.8380300000001</v>
      </c>
      <c r="I519" s="95">
        <v>0</v>
      </c>
    </row>
    <row r="520" spans="1:9" ht="33" customHeight="1" hidden="1">
      <c r="A520" s="14" t="s">
        <v>188</v>
      </c>
      <c r="B520" s="66" t="s">
        <v>399</v>
      </c>
      <c r="C520" s="30" t="s">
        <v>149</v>
      </c>
      <c r="D520" s="30" t="s">
        <v>156</v>
      </c>
      <c r="E520" s="30" t="s">
        <v>20</v>
      </c>
      <c r="F520" s="30" t="s">
        <v>158</v>
      </c>
      <c r="G520" s="74">
        <f t="shared" si="42"/>
        <v>0</v>
      </c>
      <c r="H520" s="95">
        <f>H521</f>
        <v>0</v>
      </c>
      <c r="I520" s="95">
        <f>I521</f>
        <v>0</v>
      </c>
    </row>
    <row r="521" spans="1:9" ht="48" customHeight="1" hidden="1">
      <c r="A521" s="14" t="s">
        <v>189</v>
      </c>
      <c r="B521" s="66" t="s">
        <v>399</v>
      </c>
      <c r="C521" s="30" t="s">
        <v>149</v>
      </c>
      <c r="D521" s="30" t="s">
        <v>156</v>
      </c>
      <c r="E521" s="30" t="s">
        <v>20</v>
      </c>
      <c r="F521" s="30" t="s">
        <v>190</v>
      </c>
      <c r="G521" s="74">
        <f t="shared" si="42"/>
        <v>0</v>
      </c>
      <c r="H521" s="95">
        <f>15-15</f>
        <v>0</v>
      </c>
      <c r="I521" s="95"/>
    </row>
    <row r="522" spans="1:11" ht="45" customHeight="1">
      <c r="A522" s="14" t="s">
        <v>157</v>
      </c>
      <c r="B522" s="66" t="s">
        <v>399</v>
      </c>
      <c r="C522" s="30" t="s">
        <v>149</v>
      </c>
      <c r="D522" s="30" t="s">
        <v>156</v>
      </c>
      <c r="E522" s="30" t="s">
        <v>21</v>
      </c>
      <c r="F522" s="30" t="s">
        <v>398</v>
      </c>
      <c r="G522" s="74">
        <f t="shared" si="42"/>
        <v>1814.94465</v>
      </c>
      <c r="H522" s="95">
        <f>H523+H525+H527</f>
        <v>1814.94465</v>
      </c>
      <c r="I522" s="95">
        <f>I523+I525</f>
        <v>0</v>
      </c>
      <c r="K522" s="73"/>
    </row>
    <row r="523" spans="1:9" ht="75" customHeight="1">
      <c r="A523" s="14" t="s">
        <v>185</v>
      </c>
      <c r="B523" s="66" t="s">
        <v>399</v>
      </c>
      <c r="C523" s="30" t="s">
        <v>149</v>
      </c>
      <c r="D523" s="30" t="s">
        <v>156</v>
      </c>
      <c r="E523" s="30" t="s">
        <v>21</v>
      </c>
      <c r="F523" s="30" t="s">
        <v>154</v>
      </c>
      <c r="G523" s="74">
        <f t="shared" si="42"/>
        <v>804.87865</v>
      </c>
      <c r="H523" s="95">
        <f>H524</f>
        <v>804.87865</v>
      </c>
      <c r="I523" s="95">
        <f>I524</f>
        <v>0</v>
      </c>
    </row>
    <row r="524" spans="1:9" ht="31.5" customHeight="1">
      <c r="A524" s="14" t="s">
        <v>187</v>
      </c>
      <c r="B524" s="66" t="s">
        <v>399</v>
      </c>
      <c r="C524" s="30" t="s">
        <v>149</v>
      </c>
      <c r="D524" s="30" t="s">
        <v>156</v>
      </c>
      <c r="E524" s="30" t="s">
        <v>21</v>
      </c>
      <c r="F524" s="30" t="s">
        <v>186</v>
      </c>
      <c r="G524" s="74">
        <f t="shared" si="42"/>
        <v>804.87865</v>
      </c>
      <c r="H524" s="74">
        <f>1909.672-679.566-405.104-37-12+20.64259+6.23406+2</f>
        <v>804.87865</v>
      </c>
      <c r="I524" s="95"/>
    </row>
    <row r="525" spans="1:9" ht="27">
      <c r="A525" s="14" t="s">
        <v>188</v>
      </c>
      <c r="B525" s="66" t="s">
        <v>399</v>
      </c>
      <c r="C525" s="30" t="s">
        <v>149</v>
      </c>
      <c r="D525" s="30" t="s">
        <v>156</v>
      </c>
      <c r="E525" s="30" t="s">
        <v>21</v>
      </c>
      <c r="F525" s="30" t="s">
        <v>158</v>
      </c>
      <c r="G525" s="74">
        <f t="shared" si="42"/>
        <v>1009.566</v>
      </c>
      <c r="H525" s="74">
        <f>H526</f>
        <v>1009.566</v>
      </c>
      <c r="I525" s="95">
        <f>I526</f>
        <v>0</v>
      </c>
    </row>
    <row r="526" spans="1:9" ht="41.25">
      <c r="A526" s="14" t="s">
        <v>189</v>
      </c>
      <c r="B526" s="66" t="s">
        <v>399</v>
      </c>
      <c r="C526" s="30" t="s">
        <v>149</v>
      </c>
      <c r="D526" s="30" t="s">
        <v>156</v>
      </c>
      <c r="E526" s="30" t="s">
        <v>21</v>
      </c>
      <c r="F526" s="30" t="s">
        <v>190</v>
      </c>
      <c r="G526" s="74">
        <f t="shared" si="42"/>
        <v>1009.566</v>
      </c>
      <c r="H526" s="74">
        <f>344+679.566-39+25</f>
        <v>1009.566</v>
      </c>
      <c r="I526" s="95"/>
    </row>
    <row r="527" spans="1:9" ht="13.5">
      <c r="A527" s="14" t="s">
        <v>193</v>
      </c>
      <c r="B527" s="17" t="s">
        <v>399</v>
      </c>
      <c r="C527" s="30" t="s">
        <v>149</v>
      </c>
      <c r="D527" s="30" t="s">
        <v>156</v>
      </c>
      <c r="E527" s="30" t="s">
        <v>21</v>
      </c>
      <c r="F527" s="30" t="s">
        <v>194</v>
      </c>
      <c r="G527" s="74">
        <f t="shared" si="42"/>
        <v>0.5</v>
      </c>
      <c r="H527" s="74">
        <f>H528</f>
        <v>0.5</v>
      </c>
      <c r="I527" s="95"/>
    </row>
    <row r="528" spans="1:9" ht="13.5">
      <c r="A528" s="14" t="s">
        <v>191</v>
      </c>
      <c r="B528" s="17" t="s">
        <v>399</v>
      </c>
      <c r="C528" s="30" t="s">
        <v>149</v>
      </c>
      <c r="D528" s="30" t="s">
        <v>156</v>
      </c>
      <c r="E528" s="30" t="s">
        <v>21</v>
      </c>
      <c r="F528" s="30" t="s">
        <v>192</v>
      </c>
      <c r="G528" s="74">
        <f t="shared" si="42"/>
        <v>0.5</v>
      </c>
      <c r="H528" s="74">
        <f>5-4.5</f>
        <v>0.5</v>
      </c>
      <c r="I528" s="95"/>
    </row>
    <row r="529" spans="1:9" ht="45" customHeight="1">
      <c r="A529" s="321" t="s">
        <v>595</v>
      </c>
      <c r="B529" s="150" t="s">
        <v>402</v>
      </c>
      <c r="C529" s="150" t="s">
        <v>150</v>
      </c>
      <c r="D529" s="150" t="s">
        <v>150</v>
      </c>
      <c r="E529" s="150" t="s">
        <v>311</v>
      </c>
      <c r="F529" s="150" t="s">
        <v>398</v>
      </c>
      <c r="G529" s="82">
        <f t="shared" si="42"/>
        <v>28414.375239999998</v>
      </c>
      <c r="H529" s="107">
        <f>H530+H539+H542+H548+H554</f>
        <v>17313.463239999997</v>
      </c>
      <c r="I529" s="107">
        <f>I530+I539+I554</f>
        <v>11100.912</v>
      </c>
    </row>
    <row r="530" spans="1:9" ht="45.75" customHeight="1">
      <c r="A530" s="43" t="s">
        <v>387</v>
      </c>
      <c r="B530" s="66" t="s">
        <v>402</v>
      </c>
      <c r="C530" s="30" t="s">
        <v>149</v>
      </c>
      <c r="D530" s="30" t="s">
        <v>162</v>
      </c>
      <c r="E530" s="30" t="s">
        <v>311</v>
      </c>
      <c r="F530" s="30" t="s">
        <v>398</v>
      </c>
      <c r="G530" s="74">
        <f t="shared" si="42"/>
        <v>6726.115999999999</v>
      </c>
      <c r="H530" s="95">
        <f>H531</f>
        <v>6726.115999999999</v>
      </c>
      <c r="I530" s="95">
        <f>I531</f>
        <v>0</v>
      </c>
    </row>
    <row r="531" spans="1:9" ht="42.75" customHeight="1">
      <c r="A531" s="43" t="s">
        <v>153</v>
      </c>
      <c r="B531" s="66" t="s">
        <v>402</v>
      </c>
      <c r="C531" s="30" t="s">
        <v>149</v>
      </c>
      <c r="D531" s="30" t="s">
        <v>162</v>
      </c>
      <c r="E531" s="30" t="s">
        <v>17</v>
      </c>
      <c r="F531" s="30" t="s">
        <v>398</v>
      </c>
      <c r="G531" s="74">
        <f t="shared" si="42"/>
        <v>6726.115999999999</v>
      </c>
      <c r="H531" s="95">
        <f>H532</f>
        <v>6726.115999999999</v>
      </c>
      <c r="I531" s="95">
        <f>I532</f>
        <v>0</v>
      </c>
    </row>
    <row r="532" spans="1:11" ht="41.25">
      <c r="A532" s="14" t="s">
        <v>283</v>
      </c>
      <c r="B532" s="66" t="s">
        <v>402</v>
      </c>
      <c r="C532" s="30" t="s">
        <v>149</v>
      </c>
      <c r="D532" s="30" t="s">
        <v>162</v>
      </c>
      <c r="E532" s="30" t="s">
        <v>18</v>
      </c>
      <c r="F532" s="30" t="s">
        <v>398</v>
      </c>
      <c r="G532" s="74">
        <f t="shared" si="42"/>
        <v>6726.115999999999</v>
      </c>
      <c r="H532" s="95">
        <f>H533+H535+H537+H551</f>
        <v>6726.115999999999</v>
      </c>
      <c r="I532" s="95">
        <f>I533+I535+I537</f>
        <v>0</v>
      </c>
      <c r="K532" s="73"/>
    </row>
    <row r="533" spans="1:9" ht="78" customHeight="1">
      <c r="A533" s="14" t="s">
        <v>185</v>
      </c>
      <c r="B533" s="66" t="s">
        <v>402</v>
      </c>
      <c r="C533" s="30" t="s">
        <v>149</v>
      </c>
      <c r="D533" s="30" t="s">
        <v>162</v>
      </c>
      <c r="E533" s="30" t="s">
        <v>21</v>
      </c>
      <c r="F533" s="30" t="s">
        <v>154</v>
      </c>
      <c r="G533" s="74">
        <f t="shared" si="42"/>
        <v>5479.85788</v>
      </c>
      <c r="H533" s="95">
        <f>H534</f>
        <v>5479.85788</v>
      </c>
      <c r="I533" s="95">
        <f>I534</f>
        <v>0</v>
      </c>
    </row>
    <row r="534" spans="1:11" ht="27">
      <c r="A534" s="14" t="s">
        <v>187</v>
      </c>
      <c r="B534" s="66" t="s">
        <v>402</v>
      </c>
      <c r="C534" s="30" t="s">
        <v>149</v>
      </c>
      <c r="D534" s="30" t="s">
        <v>162</v>
      </c>
      <c r="E534" s="30" t="s">
        <v>21</v>
      </c>
      <c r="F534" s="30" t="s">
        <v>186</v>
      </c>
      <c r="G534" s="74">
        <f t="shared" si="42"/>
        <v>5479.85788</v>
      </c>
      <c r="H534" s="74">
        <f>5911.516-5-260-179.272+117.5+35.5-79.28612-58.1-3</f>
        <v>5479.85788</v>
      </c>
      <c r="I534" s="95"/>
      <c r="K534" s="73"/>
    </row>
    <row r="535" spans="1:9" ht="27">
      <c r="A535" s="14" t="s">
        <v>188</v>
      </c>
      <c r="B535" s="66" t="s">
        <v>402</v>
      </c>
      <c r="C535" s="30" t="s">
        <v>149</v>
      </c>
      <c r="D535" s="30" t="s">
        <v>162</v>
      </c>
      <c r="E535" s="30" t="s">
        <v>21</v>
      </c>
      <c r="F535" s="30" t="s">
        <v>158</v>
      </c>
      <c r="G535" s="74">
        <f t="shared" si="42"/>
        <v>1241.2527400000001</v>
      </c>
      <c r="H535" s="95">
        <f>H536</f>
        <v>1241.2527400000001</v>
      </c>
      <c r="I535" s="95">
        <f>I536</f>
        <v>0</v>
      </c>
    </row>
    <row r="536" spans="1:9" ht="41.25">
      <c r="A536" s="14" t="s">
        <v>189</v>
      </c>
      <c r="B536" s="66" t="s">
        <v>402</v>
      </c>
      <c r="C536" s="30" t="s">
        <v>149</v>
      </c>
      <c r="D536" s="30" t="s">
        <v>162</v>
      </c>
      <c r="E536" s="30" t="s">
        <v>21</v>
      </c>
      <c r="F536" s="30" t="s">
        <v>190</v>
      </c>
      <c r="G536" s="74">
        <f t="shared" si="42"/>
        <v>1241.2527400000001</v>
      </c>
      <c r="H536" s="74">
        <f>959.6-40+179.272-7.61926+150</f>
        <v>1241.2527400000001</v>
      </c>
      <c r="I536" s="95"/>
    </row>
    <row r="537" spans="1:9" ht="13.5">
      <c r="A537" s="14" t="s">
        <v>193</v>
      </c>
      <c r="B537" s="66" t="s">
        <v>402</v>
      </c>
      <c r="C537" s="30" t="s">
        <v>149</v>
      </c>
      <c r="D537" s="30" t="s">
        <v>162</v>
      </c>
      <c r="E537" s="30" t="s">
        <v>21</v>
      </c>
      <c r="F537" s="30" t="s">
        <v>194</v>
      </c>
      <c r="G537" s="74">
        <f t="shared" si="42"/>
        <v>0.00537999999999994</v>
      </c>
      <c r="H537" s="95">
        <f>H538</f>
        <v>0.00537999999999994</v>
      </c>
      <c r="I537" s="95">
        <f>I538</f>
        <v>0</v>
      </c>
    </row>
    <row r="538" spans="1:9" ht="13.5">
      <c r="A538" s="14" t="s">
        <v>191</v>
      </c>
      <c r="B538" s="66" t="s">
        <v>402</v>
      </c>
      <c r="C538" s="30" t="s">
        <v>149</v>
      </c>
      <c r="D538" s="30" t="s">
        <v>162</v>
      </c>
      <c r="E538" s="30" t="s">
        <v>21</v>
      </c>
      <c r="F538" s="30" t="s">
        <v>192</v>
      </c>
      <c r="G538" s="74">
        <f t="shared" si="42"/>
        <v>0.00537999999999994</v>
      </c>
      <c r="H538" s="74">
        <f>2-1.99462</f>
        <v>0.00537999999999994</v>
      </c>
      <c r="I538" s="95"/>
    </row>
    <row r="539" spans="1:9" ht="13.5" hidden="1">
      <c r="A539" s="14" t="s">
        <v>197</v>
      </c>
      <c r="B539" s="66" t="s">
        <v>402</v>
      </c>
      <c r="C539" s="30" t="s">
        <v>149</v>
      </c>
      <c r="D539" s="30" t="s">
        <v>162</v>
      </c>
      <c r="E539" s="30" t="s">
        <v>313</v>
      </c>
      <c r="F539" s="30" t="s">
        <v>398</v>
      </c>
      <c r="G539" s="74">
        <f t="shared" si="42"/>
        <v>0</v>
      </c>
      <c r="H539" s="95">
        <f>H540</f>
        <v>0</v>
      </c>
      <c r="I539" s="95">
        <f>I540</f>
        <v>0</v>
      </c>
    </row>
    <row r="540" spans="1:9" ht="13.5" hidden="1">
      <c r="A540" s="14" t="s">
        <v>193</v>
      </c>
      <c r="B540" s="66" t="s">
        <v>402</v>
      </c>
      <c r="C540" s="30" t="s">
        <v>149</v>
      </c>
      <c r="D540" s="30" t="s">
        <v>162</v>
      </c>
      <c r="E540" s="30" t="s">
        <v>313</v>
      </c>
      <c r="F540" s="30" t="s">
        <v>194</v>
      </c>
      <c r="G540" s="74">
        <f t="shared" si="42"/>
        <v>0</v>
      </c>
      <c r="H540" s="95">
        <f>H541</f>
        <v>0</v>
      </c>
      <c r="I540" s="95">
        <f>I541</f>
        <v>0</v>
      </c>
    </row>
    <row r="541" spans="1:9" ht="13.5" hidden="1">
      <c r="A541" s="14" t="s">
        <v>197</v>
      </c>
      <c r="B541" s="66" t="s">
        <v>402</v>
      </c>
      <c r="C541" s="30" t="s">
        <v>149</v>
      </c>
      <c r="D541" s="30" t="s">
        <v>162</v>
      </c>
      <c r="E541" s="30" t="s">
        <v>313</v>
      </c>
      <c r="F541" s="30" t="s">
        <v>198</v>
      </c>
      <c r="G541" s="74">
        <f t="shared" si="42"/>
        <v>0</v>
      </c>
      <c r="H541" s="95"/>
      <c r="I541" s="95"/>
    </row>
    <row r="542" spans="1:9" ht="27" hidden="1">
      <c r="A542" s="46" t="s">
        <v>482</v>
      </c>
      <c r="B542" s="63" t="s">
        <v>402</v>
      </c>
      <c r="C542" s="49" t="s">
        <v>149</v>
      </c>
      <c r="D542" s="49" t="s">
        <v>380</v>
      </c>
      <c r="E542" s="49" t="s">
        <v>311</v>
      </c>
      <c r="F542" s="49" t="s">
        <v>398</v>
      </c>
      <c r="G542" s="83">
        <f t="shared" si="42"/>
        <v>0</v>
      </c>
      <c r="H542" s="83">
        <f>H543</f>
        <v>0</v>
      </c>
      <c r="I542" s="83"/>
    </row>
    <row r="543" spans="1:9" ht="27" hidden="1">
      <c r="A543" s="14" t="s">
        <v>483</v>
      </c>
      <c r="B543" s="66" t="s">
        <v>402</v>
      </c>
      <c r="C543" s="30" t="s">
        <v>149</v>
      </c>
      <c r="D543" s="30" t="s">
        <v>380</v>
      </c>
      <c r="E543" s="30" t="s">
        <v>17</v>
      </c>
      <c r="F543" s="30" t="s">
        <v>398</v>
      </c>
      <c r="G543" s="74">
        <f t="shared" si="42"/>
        <v>0</v>
      </c>
      <c r="H543" s="95">
        <f>H544</f>
        <v>0</v>
      </c>
      <c r="I543" s="95"/>
    </row>
    <row r="544" spans="1:9" ht="41.25" hidden="1">
      <c r="A544" s="14" t="s">
        <v>153</v>
      </c>
      <c r="B544" s="66" t="s">
        <v>402</v>
      </c>
      <c r="C544" s="30" t="s">
        <v>149</v>
      </c>
      <c r="D544" s="30" t="s">
        <v>380</v>
      </c>
      <c r="E544" s="30" t="s">
        <v>18</v>
      </c>
      <c r="F544" s="30" t="s">
        <v>398</v>
      </c>
      <c r="G544" s="74">
        <f t="shared" si="42"/>
        <v>0</v>
      </c>
      <c r="H544" s="95">
        <f>H545</f>
        <v>0</v>
      </c>
      <c r="I544" s="95"/>
    </row>
    <row r="545" spans="1:9" ht="27" hidden="1">
      <c r="A545" s="14" t="s">
        <v>484</v>
      </c>
      <c r="B545" s="66" t="s">
        <v>402</v>
      </c>
      <c r="C545" s="30" t="s">
        <v>149</v>
      </c>
      <c r="D545" s="30" t="s">
        <v>380</v>
      </c>
      <c r="E545" s="30" t="s">
        <v>485</v>
      </c>
      <c r="F545" s="30" t="s">
        <v>398</v>
      </c>
      <c r="G545" s="74">
        <f t="shared" si="42"/>
        <v>0</v>
      </c>
      <c r="H545" s="95">
        <f>H546</f>
        <v>0</v>
      </c>
      <c r="I545" s="95"/>
    </row>
    <row r="546" spans="1:9" ht="13.5" hidden="1">
      <c r="A546" s="14" t="s">
        <v>193</v>
      </c>
      <c r="B546" s="66" t="s">
        <v>402</v>
      </c>
      <c r="C546" s="30" t="s">
        <v>149</v>
      </c>
      <c r="D546" s="30" t="s">
        <v>380</v>
      </c>
      <c r="E546" s="30" t="s">
        <v>485</v>
      </c>
      <c r="F546" s="30" t="s">
        <v>194</v>
      </c>
      <c r="G546" s="74">
        <f t="shared" si="42"/>
        <v>0</v>
      </c>
      <c r="H546" s="95">
        <f>H547</f>
        <v>0</v>
      </c>
      <c r="I546" s="95"/>
    </row>
    <row r="547" spans="1:9" ht="13.5" hidden="1">
      <c r="A547" s="178" t="s">
        <v>527</v>
      </c>
      <c r="B547" s="66" t="s">
        <v>402</v>
      </c>
      <c r="C547" s="30" t="s">
        <v>149</v>
      </c>
      <c r="D547" s="30" t="s">
        <v>380</v>
      </c>
      <c r="E547" s="30" t="s">
        <v>485</v>
      </c>
      <c r="F547" s="30" t="s">
        <v>528</v>
      </c>
      <c r="G547" s="74">
        <f aca="true" t="shared" si="45" ref="G547:G566">H547+I547</f>
        <v>0</v>
      </c>
      <c r="H547" s="95">
        <v>0</v>
      </c>
      <c r="I547" s="95"/>
    </row>
    <row r="548" spans="1:9" ht="13.5" hidden="1">
      <c r="A548" s="45" t="s">
        <v>197</v>
      </c>
      <c r="B548" s="63" t="s">
        <v>402</v>
      </c>
      <c r="C548" s="49" t="s">
        <v>149</v>
      </c>
      <c r="D548" s="49" t="s">
        <v>168</v>
      </c>
      <c r="E548" s="49" t="s">
        <v>25</v>
      </c>
      <c r="F548" s="49" t="s">
        <v>398</v>
      </c>
      <c r="G548" s="83">
        <f t="shared" si="45"/>
        <v>0</v>
      </c>
      <c r="H548" s="83">
        <f>H549</f>
        <v>0</v>
      </c>
      <c r="I548" s="83"/>
    </row>
    <row r="549" spans="1:9" ht="13.5" hidden="1">
      <c r="A549" s="14" t="s">
        <v>193</v>
      </c>
      <c r="B549" s="17" t="s">
        <v>402</v>
      </c>
      <c r="C549" s="30" t="s">
        <v>149</v>
      </c>
      <c r="D549" s="30" t="s">
        <v>168</v>
      </c>
      <c r="E549" s="30" t="s">
        <v>25</v>
      </c>
      <c r="F549" s="30" t="s">
        <v>194</v>
      </c>
      <c r="G549" s="74">
        <f t="shared" si="45"/>
        <v>0</v>
      </c>
      <c r="H549" s="74">
        <f>H550</f>
        <v>0</v>
      </c>
      <c r="I549" s="74"/>
    </row>
    <row r="550" spans="1:9" ht="13.5" hidden="1">
      <c r="A550" s="14" t="s">
        <v>197</v>
      </c>
      <c r="B550" s="17" t="s">
        <v>402</v>
      </c>
      <c r="C550" s="30" t="s">
        <v>149</v>
      </c>
      <c r="D550" s="30" t="s">
        <v>168</v>
      </c>
      <c r="E550" s="30" t="s">
        <v>25</v>
      </c>
      <c r="F550" s="30" t="s">
        <v>198</v>
      </c>
      <c r="G550" s="74">
        <f t="shared" si="45"/>
        <v>0</v>
      </c>
      <c r="H550" s="74">
        <v>0</v>
      </c>
      <c r="I550" s="74"/>
    </row>
    <row r="551" spans="1:9" ht="13.5">
      <c r="A551" s="242" t="s">
        <v>197</v>
      </c>
      <c r="B551" s="243" t="s">
        <v>402</v>
      </c>
      <c r="C551" s="244" t="s">
        <v>149</v>
      </c>
      <c r="D551" s="244" t="s">
        <v>168</v>
      </c>
      <c r="E551" s="244" t="s">
        <v>25</v>
      </c>
      <c r="F551" s="244" t="s">
        <v>398</v>
      </c>
      <c r="G551" s="83">
        <f t="shared" si="45"/>
        <v>5</v>
      </c>
      <c r="H551" s="83">
        <f>H552</f>
        <v>5</v>
      </c>
      <c r="I551" s="74"/>
    </row>
    <row r="552" spans="1:9" ht="13.5">
      <c r="A552" s="245" t="s">
        <v>193</v>
      </c>
      <c r="B552" s="246" t="s">
        <v>402</v>
      </c>
      <c r="C552" s="247" t="s">
        <v>149</v>
      </c>
      <c r="D552" s="247" t="s">
        <v>168</v>
      </c>
      <c r="E552" s="247" t="s">
        <v>25</v>
      </c>
      <c r="F552" s="247" t="s">
        <v>194</v>
      </c>
      <c r="G552" s="74">
        <f t="shared" si="45"/>
        <v>5</v>
      </c>
      <c r="H552" s="74">
        <f>H553</f>
        <v>5</v>
      </c>
      <c r="I552" s="74"/>
    </row>
    <row r="553" spans="1:9" ht="13.5">
      <c r="A553" s="245" t="s">
        <v>197</v>
      </c>
      <c r="B553" s="246" t="s">
        <v>402</v>
      </c>
      <c r="C553" s="247" t="s">
        <v>149</v>
      </c>
      <c r="D553" s="247" t="s">
        <v>168</v>
      </c>
      <c r="E553" s="247" t="s">
        <v>25</v>
      </c>
      <c r="F553" s="247" t="s">
        <v>198</v>
      </c>
      <c r="G553" s="74">
        <f t="shared" si="45"/>
        <v>5</v>
      </c>
      <c r="H553" s="74">
        <v>5</v>
      </c>
      <c r="I553" s="74"/>
    </row>
    <row r="554" spans="1:9" ht="72">
      <c r="A554" s="64" t="s">
        <v>836</v>
      </c>
      <c r="B554" s="76" t="s">
        <v>402</v>
      </c>
      <c r="C554" s="62" t="s">
        <v>230</v>
      </c>
      <c r="D554" s="62" t="s">
        <v>150</v>
      </c>
      <c r="E554" s="62" t="s">
        <v>506</v>
      </c>
      <c r="F554" s="62" t="s">
        <v>398</v>
      </c>
      <c r="G554" s="77">
        <f t="shared" si="45"/>
        <v>21688.25924</v>
      </c>
      <c r="H554" s="77">
        <f>H555+H563+H565+H569</f>
        <v>10587.34724</v>
      </c>
      <c r="I554" s="77">
        <f>I556+I565</f>
        <v>11100.912</v>
      </c>
    </row>
    <row r="555" spans="1:9" ht="48" customHeight="1">
      <c r="A555" s="14" t="s">
        <v>231</v>
      </c>
      <c r="B555" s="66" t="s">
        <v>402</v>
      </c>
      <c r="C555" s="30" t="s">
        <v>230</v>
      </c>
      <c r="D555" s="30" t="s">
        <v>149</v>
      </c>
      <c r="E555" s="30" t="s">
        <v>506</v>
      </c>
      <c r="F555" s="30" t="s">
        <v>398</v>
      </c>
      <c r="G555" s="74">
        <f t="shared" si="45"/>
        <v>17516.275999999998</v>
      </c>
      <c r="H555" s="74">
        <f>H560</f>
        <v>6415.364</v>
      </c>
      <c r="I555" s="74">
        <f>I556</f>
        <v>11100.912</v>
      </c>
    </row>
    <row r="556" spans="1:9" ht="41.25">
      <c r="A556" s="45" t="s">
        <v>232</v>
      </c>
      <c r="B556" s="66" t="s">
        <v>402</v>
      </c>
      <c r="C556" s="49" t="s">
        <v>230</v>
      </c>
      <c r="D556" s="49" t="s">
        <v>149</v>
      </c>
      <c r="E556" s="49" t="s">
        <v>498</v>
      </c>
      <c r="F556" s="49" t="s">
        <v>398</v>
      </c>
      <c r="G556" s="83">
        <f t="shared" si="45"/>
        <v>11100.912</v>
      </c>
      <c r="H556" s="83">
        <f>H557</f>
        <v>0</v>
      </c>
      <c r="I556" s="83">
        <f>I557</f>
        <v>11100.912</v>
      </c>
    </row>
    <row r="557" spans="1:9" ht="13.5">
      <c r="A557" s="14" t="s">
        <v>199</v>
      </c>
      <c r="B557" s="66" t="s">
        <v>402</v>
      </c>
      <c r="C557" s="30" t="s">
        <v>230</v>
      </c>
      <c r="D557" s="30" t="s">
        <v>149</v>
      </c>
      <c r="E557" s="30" t="s">
        <v>498</v>
      </c>
      <c r="F557" s="30" t="s">
        <v>398</v>
      </c>
      <c r="G557" s="74">
        <f t="shared" si="45"/>
        <v>11100.912</v>
      </c>
      <c r="H557" s="74">
        <f>H558</f>
        <v>0</v>
      </c>
      <c r="I557" s="74">
        <f>I558+I560</f>
        <v>11100.912</v>
      </c>
    </row>
    <row r="558" spans="1:9" ht="82.5">
      <c r="A558" s="14" t="s">
        <v>324</v>
      </c>
      <c r="B558" s="66" t="s">
        <v>402</v>
      </c>
      <c r="C558" s="30" t="s">
        <v>230</v>
      </c>
      <c r="D558" s="30" t="s">
        <v>149</v>
      </c>
      <c r="E558" s="30" t="s">
        <v>498</v>
      </c>
      <c r="F558" s="30" t="s">
        <v>398</v>
      </c>
      <c r="G558" s="74">
        <f>H558+I558</f>
        <v>11100.912</v>
      </c>
      <c r="H558" s="74">
        <f>H559</f>
        <v>0</v>
      </c>
      <c r="I558" s="74">
        <f>I559</f>
        <v>11100.912</v>
      </c>
    </row>
    <row r="559" spans="1:9" ht="13.5">
      <c r="A559" s="14" t="s">
        <v>209</v>
      </c>
      <c r="B559" s="66" t="s">
        <v>402</v>
      </c>
      <c r="C559" s="30" t="s">
        <v>230</v>
      </c>
      <c r="D559" s="30" t="s">
        <v>149</v>
      </c>
      <c r="E559" s="30" t="s">
        <v>498</v>
      </c>
      <c r="F559" s="30" t="s">
        <v>210</v>
      </c>
      <c r="G559" s="74">
        <f t="shared" si="45"/>
        <v>11100.912</v>
      </c>
      <c r="H559" s="74">
        <v>0</v>
      </c>
      <c r="I559" s="74">
        <v>11100.912</v>
      </c>
    </row>
    <row r="560" spans="1:9" ht="41.25">
      <c r="A560" s="45" t="s">
        <v>305</v>
      </c>
      <c r="B560" s="66" t="s">
        <v>402</v>
      </c>
      <c r="C560" s="49" t="s">
        <v>230</v>
      </c>
      <c r="D560" s="49" t="s">
        <v>149</v>
      </c>
      <c r="E560" s="49" t="s">
        <v>499</v>
      </c>
      <c r="F560" s="49" t="s">
        <v>398</v>
      </c>
      <c r="G560" s="83">
        <f>H560+I560</f>
        <v>6415.364</v>
      </c>
      <c r="H560" s="83">
        <f>H561</f>
        <v>6415.364</v>
      </c>
      <c r="I560" s="83">
        <f>I561</f>
        <v>0</v>
      </c>
    </row>
    <row r="561" spans="1:9" ht="13.5">
      <c r="A561" s="14" t="s">
        <v>209</v>
      </c>
      <c r="B561" s="66" t="s">
        <v>402</v>
      </c>
      <c r="C561" s="30" t="s">
        <v>230</v>
      </c>
      <c r="D561" s="30" t="s">
        <v>149</v>
      </c>
      <c r="E561" s="30" t="s">
        <v>499</v>
      </c>
      <c r="F561" s="30" t="s">
        <v>210</v>
      </c>
      <c r="G561" s="74">
        <f t="shared" si="45"/>
        <v>6415.364</v>
      </c>
      <c r="H561" s="74">
        <f>5000+115.364+1300</f>
        <v>6415.364</v>
      </c>
      <c r="I561" s="74"/>
    </row>
    <row r="562" spans="1:9" ht="41.25" hidden="1">
      <c r="A562" s="14" t="s">
        <v>305</v>
      </c>
      <c r="B562" s="66" t="s">
        <v>402</v>
      </c>
      <c r="C562" s="30" t="s">
        <v>230</v>
      </c>
      <c r="D562" s="30" t="s">
        <v>149</v>
      </c>
      <c r="E562" s="30" t="s">
        <v>25</v>
      </c>
      <c r="F562" s="30" t="s">
        <v>398</v>
      </c>
      <c r="G562" s="74">
        <f>H562</f>
        <v>0</v>
      </c>
      <c r="H562" s="74">
        <f>H563</f>
        <v>0</v>
      </c>
      <c r="I562" s="74">
        <f>I563</f>
        <v>0</v>
      </c>
    </row>
    <row r="563" spans="1:9" ht="13.5" hidden="1">
      <c r="A563" s="14" t="s">
        <v>197</v>
      </c>
      <c r="B563" s="66" t="s">
        <v>402</v>
      </c>
      <c r="C563" s="30" t="s">
        <v>230</v>
      </c>
      <c r="D563" s="30" t="s">
        <v>149</v>
      </c>
      <c r="E563" s="30" t="s">
        <v>25</v>
      </c>
      <c r="F563" s="30" t="s">
        <v>210</v>
      </c>
      <c r="G563" s="74">
        <f>H563</f>
        <v>0</v>
      </c>
      <c r="H563" s="74"/>
      <c r="I563" s="74"/>
    </row>
    <row r="564" spans="1:9" ht="27">
      <c r="A564" s="45" t="s">
        <v>335</v>
      </c>
      <c r="B564" s="66" t="s">
        <v>402</v>
      </c>
      <c r="C564" s="49" t="s">
        <v>230</v>
      </c>
      <c r="D564" s="49" t="s">
        <v>156</v>
      </c>
      <c r="E564" s="49" t="s">
        <v>506</v>
      </c>
      <c r="F564" s="49" t="s">
        <v>398</v>
      </c>
      <c r="G564" s="83">
        <f t="shared" si="45"/>
        <v>3123.58324</v>
      </c>
      <c r="H564" s="83">
        <f>H565</f>
        <v>3123.58324</v>
      </c>
      <c r="I564" s="83">
        <f>I565</f>
        <v>0</v>
      </c>
    </row>
    <row r="565" spans="1:9" ht="27">
      <c r="A565" s="14" t="s">
        <v>441</v>
      </c>
      <c r="B565" s="66" t="s">
        <v>402</v>
      </c>
      <c r="C565" s="30" t="s">
        <v>230</v>
      </c>
      <c r="D565" s="30" t="s">
        <v>156</v>
      </c>
      <c r="E565" s="30" t="s">
        <v>500</v>
      </c>
      <c r="F565" s="30" t="s">
        <v>398</v>
      </c>
      <c r="G565" s="74">
        <f t="shared" si="45"/>
        <v>3123.58324</v>
      </c>
      <c r="H565" s="74">
        <f>H566</f>
        <v>3123.58324</v>
      </c>
      <c r="I565" s="74">
        <f>I567</f>
        <v>0</v>
      </c>
    </row>
    <row r="566" spans="1:9" ht="16.5" customHeight="1">
      <c r="A566" s="14" t="s">
        <v>199</v>
      </c>
      <c r="B566" s="66" t="s">
        <v>402</v>
      </c>
      <c r="C566" s="30" t="s">
        <v>230</v>
      </c>
      <c r="D566" s="30" t="s">
        <v>156</v>
      </c>
      <c r="E566" s="30" t="s">
        <v>500</v>
      </c>
      <c r="F566" s="30" t="s">
        <v>200</v>
      </c>
      <c r="G566" s="74">
        <f t="shared" si="45"/>
        <v>3123.58324</v>
      </c>
      <c r="H566" s="74">
        <f>H567+H570</f>
        <v>3123.58324</v>
      </c>
      <c r="I566" s="74"/>
    </row>
    <row r="567" spans="1:9" ht="17.25" customHeight="1">
      <c r="A567" s="14" t="s">
        <v>294</v>
      </c>
      <c r="B567" s="66" t="s">
        <v>402</v>
      </c>
      <c r="C567" s="30" t="s">
        <v>230</v>
      </c>
      <c r="D567" s="30" t="s">
        <v>156</v>
      </c>
      <c r="E567" s="30" t="s">
        <v>500</v>
      </c>
      <c r="F567" s="30" t="s">
        <v>440</v>
      </c>
      <c r="G567" s="74">
        <f>H567+I567</f>
        <v>3123.58324</v>
      </c>
      <c r="H567" s="74">
        <f>1100-50-30+800+759.89-12.30676+556</f>
        <v>3123.58324</v>
      </c>
      <c r="I567" s="74"/>
    </row>
    <row r="568" spans="1:9" ht="13.5">
      <c r="A568" s="14" t="s">
        <v>199</v>
      </c>
      <c r="B568" s="66" t="s">
        <v>402</v>
      </c>
      <c r="C568" s="30" t="s">
        <v>230</v>
      </c>
      <c r="D568" s="30" t="s">
        <v>156</v>
      </c>
      <c r="E568" s="30" t="s">
        <v>976</v>
      </c>
      <c r="F568" s="30" t="s">
        <v>200</v>
      </c>
      <c r="G568" s="74">
        <f>H568</f>
        <v>1048.4</v>
      </c>
      <c r="H568" s="74">
        <f>H569</f>
        <v>1048.4</v>
      </c>
      <c r="I568" s="95"/>
    </row>
    <row r="569" spans="1:9" ht="104.25" customHeight="1">
      <c r="A569" s="14" t="s">
        <v>977</v>
      </c>
      <c r="B569" s="17" t="s">
        <v>402</v>
      </c>
      <c r="C569" s="30" t="s">
        <v>230</v>
      </c>
      <c r="D569" s="30" t="s">
        <v>156</v>
      </c>
      <c r="E569" s="30" t="s">
        <v>976</v>
      </c>
      <c r="F569" s="30" t="s">
        <v>440</v>
      </c>
      <c r="G569" s="74">
        <f>H569</f>
        <v>1048.4</v>
      </c>
      <c r="H569" s="74">
        <f>284.9+763.5</f>
        <v>1048.4</v>
      </c>
      <c r="I569" s="95"/>
    </row>
    <row r="570" spans="1:9" ht="69" hidden="1">
      <c r="A570" s="14" t="s">
        <v>653</v>
      </c>
      <c r="B570" s="66" t="s">
        <v>402</v>
      </c>
      <c r="C570" s="30" t="s">
        <v>230</v>
      </c>
      <c r="D570" s="30" t="s">
        <v>156</v>
      </c>
      <c r="E570" s="30" t="s">
        <v>688</v>
      </c>
      <c r="F570" s="30" t="s">
        <v>440</v>
      </c>
      <c r="G570" s="74">
        <f>H570</f>
        <v>0</v>
      </c>
      <c r="H570" s="74">
        <v>0</v>
      </c>
      <c r="I570" s="95"/>
    </row>
    <row r="571" spans="1:9" ht="69">
      <c r="A571" s="321" t="s">
        <v>415</v>
      </c>
      <c r="B571" s="150" t="s">
        <v>401</v>
      </c>
      <c r="C571" s="150" t="s">
        <v>150</v>
      </c>
      <c r="D571" s="150" t="s">
        <v>150</v>
      </c>
      <c r="E571" s="150" t="s">
        <v>311</v>
      </c>
      <c r="F571" s="150" t="s">
        <v>398</v>
      </c>
      <c r="G571" s="82">
        <f>H571+I571</f>
        <v>509647.10560000007</v>
      </c>
      <c r="H571" s="107">
        <f>H572+H740+H756</f>
        <v>237820.39241000003</v>
      </c>
      <c r="I571" s="107">
        <f>I572+I581+I740+I756</f>
        <v>271826.71319000004</v>
      </c>
    </row>
    <row r="572" spans="1:9" ht="13.5">
      <c r="A572" s="91" t="s">
        <v>379</v>
      </c>
      <c r="B572" s="150" t="s">
        <v>401</v>
      </c>
      <c r="C572" s="69" t="s">
        <v>380</v>
      </c>
      <c r="D572" s="69" t="s">
        <v>150</v>
      </c>
      <c r="E572" s="69" t="s">
        <v>311</v>
      </c>
      <c r="F572" s="69" t="s">
        <v>398</v>
      </c>
      <c r="G572" s="82">
        <f>I572+H572</f>
        <v>503813.55845</v>
      </c>
      <c r="H572" s="107">
        <f>H573+H599+H652+H672+H677+H687+H695+H669</f>
        <v>237754.80146000002</v>
      </c>
      <c r="I572" s="107">
        <f>I573+I599+I652+I672+I677+I695</f>
        <v>266058.75699</v>
      </c>
    </row>
    <row r="573" spans="1:9" ht="13.5">
      <c r="A573" s="68" t="s">
        <v>389</v>
      </c>
      <c r="B573" s="150" t="s">
        <v>401</v>
      </c>
      <c r="C573" s="69" t="s">
        <v>380</v>
      </c>
      <c r="D573" s="69" t="s">
        <v>149</v>
      </c>
      <c r="E573" s="69" t="s">
        <v>311</v>
      </c>
      <c r="F573" s="69" t="s">
        <v>398</v>
      </c>
      <c r="G573" s="82">
        <f aca="true" t="shared" si="46" ref="G573:G579">H573+I573</f>
        <v>85898.744</v>
      </c>
      <c r="H573" s="107">
        <f>H574+H584+H587+H594</f>
        <v>42482.393000000004</v>
      </c>
      <c r="I573" s="107">
        <f>I574+I584</f>
        <v>43416.351</v>
      </c>
    </row>
    <row r="574" spans="1:9" ht="41.25">
      <c r="A574" s="45" t="s">
        <v>452</v>
      </c>
      <c r="B574" s="148" t="s">
        <v>401</v>
      </c>
      <c r="C574" s="49" t="s">
        <v>380</v>
      </c>
      <c r="D574" s="49" t="s">
        <v>149</v>
      </c>
      <c r="E574" s="49" t="s">
        <v>35</v>
      </c>
      <c r="F574" s="49" t="s">
        <v>398</v>
      </c>
      <c r="G574" s="83">
        <f t="shared" si="46"/>
        <v>42482.393000000004</v>
      </c>
      <c r="H574" s="106">
        <f>H575</f>
        <v>42482.393000000004</v>
      </c>
      <c r="I574" s="106">
        <f>I575</f>
        <v>0</v>
      </c>
    </row>
    <row r="575" spans="1:9" ht="43.5" customHeight="1">
      <c r="A575" s="70" t="s">
        <v>250</v>
      </c>
      <c r="B575" s="66" t="s">
        <v>401</v>
      </c>
      <c r="C575" s="30" t="s">
        <v>380</v>
      </c>
      <c r="D575" s="30" t="s">
        <v>149</v>
      </c>
      <c r="E575" s="30" t="s">
        <v>48</v>
      </c>
      <c r="F575" s="30" t="s">
        <v>398</v>
      </c>
      <c r="G575" s="74">
        <f t="shared" si="46"/>
        <v>42482.393000000004</v>
      </c>
      <c r="H575" s="95">
        <f>H576+H581+H579</f>
        <v>42482.393000000004</v>
      </c>
      <c r="I575" s="95">
        <f>I576+I581</f>
        <v>0</v>
      </c>
    </row>
    <row r="576" spans="1:9" ht="41.25">
      <c r="A576" s="14" t="s">
        <v>211</v>
      </c>
      <c r="B576" s="66" t="s">
        <v>401</v>
      </c>
      <c r="C576" s="30" t="s">
        <v>380</v>
      </c>
      <c r="D576" s="30" t="s">
        <v>149</v>
      </c>
      <c r="E576" s="30" t="s">
        <v>50</v>
      </c>
      <c r="F576" s="30" t="s">
        <v>212</v>
      </c>
      <c r="G576" s="74">
        <f t="shared" si="46"/>
        <v>380</v>
      </c>
      <c r="H576" s="95">
        <f>H577</f>
        <v>380</v>
      </c>
      <c r="I576" s="95">
        <f>I577</f>
        <v>0</v>
      </c>
    </row>
    <row r="577" spans="1:9" ht="13.5">
      <c r="A577" s="37" t="s">
        <v>213</v>
      </c>
      <c r="B577" s="66" t="s">
        <v>401</v>
      </c>
      <c r="C577" s="30" t="s">
        <v>380</v>
      </c>
      <c r="D577" s="30" t="s">
        <v>149</v>
      </c>
      <c r="E577" s="30" t="s">
        <v>49</v>
      </c>
      <c r="F577" s="30" t="s">
        <v>279</v>
      </c>
      <c r="G577" s="74">
        <f t="shared" si="46"/>
        <v>380</v>
      </c>
      <c r="H577" s="74">
        <f>340+40</f>
        <v>380</v>
      </c>
      <c r="I577" s="95"/>
    </row>
    <row r="578" spans="1:9" ht="41.25">
      <c r="A578" s="14" t="s">
        <v>211</v>
      </c>
      <c r="B578" s="17" t="s">
        <v>401</v>
      </c>
      <c r="C578" s="30" t="s">
        <v>380</v>
      </c>
      <c r="D578" s="30" t="s">
        <v>149</v>
      </c>
      <c r="E578" s="30" t="s">
        <v>767</v>
      </c>
      <c r="F578" s="30" t="s">
        <v>212</v>
      </c>
      <c r="G578" s="74">
        <f t="shared" si="46"/>
        <v>163</v>
      </c>
      <c r="H578" s="74">
        <f>H579</f>
        <v>163</v>
      </c>
      <c r="I578" s="74">
        <f>I579</f>
        <v>0</v>
      </c>
    </row>
    <row r="579" spans="1:9" ht="35.25" customHeight="1">
      <c r="A579" s="64" t="s">
        <v>769</v>
      </c>
      <c r="B579" s="76" t="s">
        <v>401</v>
      </c>
      <c r="C579" s="62" t="s">
        <v>380</v>
      </c>
      <c r="D579" s="62" t="s">
        <v>149</v>
      </c>
      <c r="E579" s="62" t="s">
        <v>767</v>
      </c>
      <c r="F579" s="62" t="s">
        <v>279</v>
      </c>
      <c r="G579" s="77">
        <f t="shared" si="46"/>
        <v>163</v>
      </c>
      <c r="H579" s="77">
        <v>163</v>
      </c>
      <c r="I579" s="77"/>
    </row>
    <row r="580" spans="1:9" ht="13.5" hidden="1">
      <c r="A580" s="37"/>
      <c r="B580" s="66" t="s">
        <v>401</v>
      </c>
      <c r="C580" s="30" t="s">
        <v>380</v>
      </c>
      <c r="D580" s="30" t="s">
        <v>149</v>
      </c>
      <c r="E580" s="30"/>
      <c r="F580" s="30"/>
      <c r="G580" s="74"/>
      <c r="H580" s="74"/>
      <c r="I580" s="95"/>
    </row>
    <row r="581" spans="1:10" ht="82.5">
      <c r="A581" s="14" t="s">
        <v>817</v>
      </c>
      <c r="B581" s="66" t="s">
        <v>401</v>
      </c>
      <c r="C581" s="30" t="s">
        <v>380</v>
      </c>
      <c r="D581" s="30" t="s">
        <v>149</v>
      </c>
      <c r="E581" s="30" t="s">
        <v>50</v>
      </c>
      <c r="F581" s="30" t="s">
        <v>398</v>
      </c>
      <c r="G581" s="74">
        <f aca="true" t="shared" si="47" ref="G581:G586">H581+I581</f>
        <v>41939.393000000004</v>
      </c>
      <c r="H581" s="95">
        <f>H582</f>
        <v>41939.393000000004</v>
      </c>
      <c r="I581" s="95">
        <f>I582</f>
        <v>0</v>
      </c>
      <c r="J581" s="42"/>
    </row>
    <row r="582" spans="1:9" ht="41.25">
      <c r="A582" s="14" t="s">
        <v>211</v>
      </c>
      <c r="B582" s="66" t="s">
        <v>401</v>
      </c>
      <c r="C582" s="30" t="s">
        <v>380</v>
      </c>
      <c r="D582" s="30" t="s">
        <v>149</v>
      </c>
      <c r="E582" s="30" t="s">
        <v>50</v>
      </c>
      <c r="F582" s="30" t="s">
        <v>212</v>
      </c>
      <c r="G582" s="74">
        <f t="shared" si="47"/>
        <v>41939.393000000004</v>
      </c>
      <c r="H582" s="95">
        <f>H583</f>
        <v>41939.393000000004</v>
      </c>
      <c r="I582" s="95">
        <f>I583</f>
        <v>0</v>
      </c>
    </row>
    <row r="583" spans="1:10" ht="13.5">
      <c r="A583" s="14" t="s">
        <v>176</v>
      </c>
      <c r="B583" s="66" t="s">
        <v>401</v>
      </c>
      <c r="C583" s="30" t="s">
        <v>380</v>
      </c>
      <c r="D583" s="30" t="s">
        <v>149</v>
      </c>
      <c r="E583" s="30" t="s">
        <v>51</v>
      </c>
      <c r="F583" s="30" t="s">
        <v>279</v>
      </c>
      <c r="G583" s="74">
        <f t="shared" si="47"/>
        <v>41939.393000000004</v>
      </c>
      <c r="H583" s="74">
        <f>32552.606+1610.705+450+2033+769+1262.082+1200+115+365+1528+54</f>
        <v>41939.393000000004</v>
      </c>
      <c r="I583" s="95"/>
      <c r="J583" s="42"/>
    </row>
    <row r="584" spans="1:9" ht="69">
      <c r="A584" s="14" t="s">
        <v>385</v>
      </c>
      <c r="B584" s="66" t="s">
        <v>401</v>
      </c>
      <c r="C584" s="30" t="s">
        <v>380</v>
      </c>
      <c r="D584" s="17" t="s">
        <v>149</v>
      </c>
      <c r="E584" s="30" t="s">
        <v>52</v>
      </c>
      <c r="F584" s="30" t="s">
        <v>398</v>
      </c>
      <c r="G584" s="74">
        <f t="shared" si="47"/>
        <v>43416.351</v>
      </c>
      <c r="H584" s="95">
        <f>H585</f>
        <v>0</v>
      </c>
      <c r="I584" s="95">
        <f>I585</f>
        <v>43416.351</v>
      </c>
    </row>
    <row r="585" spans="1:9" ht="41.25">
      <c r="A585" s="14" t="s">
        <v>211</v>
      </c>
      <c r="B585" s="66" t="s">
        <v>401</v>
      </c>
      <c r="C585" s="30" t="s">
        <v>380</v>
      </c>
      <c r="D585" s="30" t="s">
        <v>149</v>
      </c>
      <c r="E585" s="30" t="s">
        <v>52</v>
      </c>
      <c r="F585" s="30" t="s">
        <v>212</v>
      </c>
      <c r="G585" s="74">
        <f t="shared" si="47"/>
        <v>43416.351</v>
      </c>
      <c r="H585" s="95"/>
      <c r="I585" s="74">
        <f>I586</f>
        <v>43416.351</v>
      </c>
    </row>
    <row r="586" spans="1:9" ht="13.5">
      <c r="A586" s="14" t="s">
        <v>213</v>
      </c>
      <c r="B586" s="66" t="s">
        <v>401</v>
      </c>
      <c r="C586" s="30" t="s">
        <v>380</v>
      </c>
      <c r="D586" s="30" t="s">
        <v>149</v>
      </c>
      <c r="E586" s="30" t="s">
        <v>52</v>
      </c>
      <c r="F586" s="30" t="s">
        <v>279</v>
      </c>
      <c r="G586" s="74">
        <f t="shared" si="47"/>
        <v>43416.351</v>
      </c>
      <c r="H586" s="95"/>
      <c r="I586" s="74">
        <f>41476.941+1939.41</f>
        <v>43416.351</v>
      </c>
    </row>
    <row r="587" spans="1:9" ht="31.5" customHeight="1" hidden="1">
      <c r="A587" s="45" t="s">
        <v>550</v>
      </c>
      <c r="B587" s="66" t="s">
        <v>797</v>
      </c>
      <c r="C587" s="30" t="s">
        <v>380</v>
      </c>
      <c r="D587" s="30" t="s">
        <v>149</v>
      </c>
      <c r="E587" s="49" t="s">
        <v>311</v>
      </c>
      <c r="F587" s="49" t="s">
        <v>398</v>
      </c>
      <c r="G587" s="77">
        <f>H587</f>
        <v>0</v>
      </c>
      <c r="H587" s="77">
        <f>H588+H591</f>
        <v>0</v>
      </c>
      <c r="I587" s="77"/>
    </row>
    <row r="588" spans="1:9" ht="33" customHeight="1" hidden="1">
      <c r="A588" s="14" t="s">
        <v>551</v>
      </c>
      <c r="B588" s="66" t="s">
        <v>798</v>
      </c>
      <c r="C588" s="30" t="s">
        <v>380</v>
      </c>
      <c r="D588" s="30" t="s">
        <v>149</v>
      </c>
      <c r="E588" s="30" t="s">
        <v>552</v>
      </c>
      <c r="F588" s="30" t="s">
        <v>398</v>
      </c>
      <c r="G588" s="74">
        <f>H588</f>
        <v>0</v>
      </c>
      <c r="H588" s="74">
        <f>H589</f>
        <v>0</v>
      </c>
      <c r="I588" s="74"/>
    </row>
    <row r="589" spans="1:9" ht="47.25" customHeight="1" hidden="1">
      <c r="A589" s="14" t="s">
        <v>211</v>
      </c>
      <c r="B589" s="66" t="s">
        <v>400</v>
      </c>
      <c r="C589" s="30" t="s">
        <v>380</v>
      </c>
      <c r="D589" s="30" t="s">
        <v>149</v>
      </c>
      <c r="E589" s="30" t="s">
        <v>552</v>
      </c>
      <c r="F589" s="30" t="s">
        <v>212</v>
      </c>
      <c r="G589" s="74">
        <f>H589</f>
        <v>0</v>
      </c>
      <c r="H589" s="74">
        <f>H590</f>
        <v>0</v>
      </c>
      <c r="I589" s="74"/>
    </row>
    <row r="590" spans="1:9" ht="22.5" customHeight="1" hidden="1">
      <c r="A590" s="14" t="s">
        <v>213</v>
      </c>
      <c r="B590" s="66" t="s">
        <v>799</v>
      </c>
      <c r="C590" s="30" t="s">
        <v>380</v>
      </c>
      <c r="D590" s="30" t="s">
        <v>149</v>
      </c>
      <c r="E590" s="30" t="s">
        <v>552</v>
      </c>
      <c r="F590" s="30" t="s">
        <v>279</v>
      </c>
      <c r="G590" s="74">
        <f>H590</f>
        <v>0</v>
      </c>
      <c r="H590" s="74">
        <v>0</v>
      </c>
      <c r="I590" s="74"/>
    </row>
    <row r="591" spans="1:9" ht="33" customHeight="1" hidden="1">
      <c r="A591" s="45" t="s">
        <v>764</v>
      </c>
      <c r="B591" s="66" t="s">
        <v>800</v>
      </c>
      <c r="C591" s="30" t="s">
        <v>380</v>
      </c>
      <c r="D591" s="30" t="s">
        <v>149</v>
      </c>
      <c r="E591" s="323" t="s">
        <v>18</v>
      </c>
      <c r="F591" s="49" t="s">
        <v>398</v>
      </c>
      <c r="G591" s="83">
        <f>H591+I591</f>
        <v>0</v>
      </c>
      <c r="H591" s="83">
        <f>H592</f>
        <v>0</v>
      </c>
      <c r="I591" s="83">
        <f>I592</f>
        <v>0</v>
      </c>
    </row>
    <row r="592" spans="1:9" ht="50.25" customHeight="1" hidden="1">
      <c r="A592" s="14" t="s">
        <v>211</v>
      </c>
      <c r="B592" s="66" t="s">
        <v>801</v>
      </c>
      <c r="C592" s="30" t="s">
        <v>380</v>
      </c>
      <c r="D592" s="30" t="s">
        <v>149</v>
      </c>
      <c r="E592" s="48" t="s">
        <v>18</v>
      </c>
      <c r="F592" s="30" t="s">
        <v>212</v>
      </c>
      <c r="G592" s="74">
        <f>H592+I592</f>
        <v>0</v>
      </c>
      <c r="H592" s="74">
        <f>H593</f>
        <v>0</v>
      </c>
      <c r="I592" s="74">
        <f>I593</f>
        <v>0</v>
      </c>
    </row>
    <row r="593" spans="1:9" ht="22.5" customHeight="1" hidden="1">
      <c r="A593" s="14" t="s">
        <v>213</v>
      </c>
      <c r="B593" s="66" t="s">
        <v>802</v>
      </c>
      <c r="C593" s="30" t="s">
        <v>380</v>
      </c>
      <c r="D593" s="30" t="s">
        <v>149</v>
      </c>
      <c r="E593" s="48" t="s">
        <v>18</v>
      </c>
      <c r="F593" s="30" t="s">
        <v>279</v>
      </c>
      <c r="G593" s="74">
        <f>H593+I593</f>
        <v>0</v>
      </c>
      <c r="H593" s="74"/>
      <c r="I593" s="74"/>
    </row>
    <row r="594" spans="1:9" ht="33.75" customHeight="1" hidden="1">
      <c r="A594" s="14" t="s">
        <v>152</v>
      </c>
      <c r="B594" s="17" t="s">
        <v>401</v>
      </c>
      <c r="C594" s="30" t="s">
        <v>380</v>
      </c>
      <c r="D594" s="30" t="s">
        <v>149</v>
      </c>
      <c r="E594" s="30" t="s">
        <v>17</v>
      </c>
      <c r="F594" s="30" t="s">
        <v>398</v>
      </c>
      <c r="G594" s="74">
        <f>H594</f>
        <v>0</v>
      </c>
      <c r="H594" s="74">
        <f>H595</f>
        <v>0</v>
      </c>
      <c r="I594" s="74"/>
    </row>
    <row r="595" spans="1:9" ht="48" customHeight="1" hidden="1">
      <c r="A595" s="14" t="s">
        <v>153</v>
      </c>
      <c r="B595" s="17" t="s">
        <v>401</v>
      </c>
      <c r="C595" s="30" t="s">
        <v>380</v>
      </c>
      <c r="D595" s="30" t="s">
        <v>149</v>
      </c>
      <c r="E595" s="30" t="s">
        <v>18</v>
      </c>
      <c r="F595" s="30" t="s">
        <v>398</v>
      </c>
      <c r="G595" s="74">
        <f>H595</f>
        <v>0</v>
      </c>
      <c r="H595" s="74">
        <f>H596</f>
        <v>0</v>
      </c>
      <c r="I595" s="74"/>
    </row>
    <row r="596" spans="1:9" ht="32.25" customHeight="1" hidden="1">
      <c r="A596" s="114" t="s">
        <v>607</v>
      </c>
      <c r="B596" s="17" t="s">
        <v>401</v>
      </c>
      <c r="C596" s="30" t="s">
        <v>380</v>
      </c>
      <c r="D596" s="30" t="s">
        <v>149</v>
      </c>
      <c r="E596" s="30" t="s">
        <v>552</v>
      </c>
      <c r="F596" s="30" t="s">
        <v>398</v>
      </c>
      <c r="G596" s="74">
        <f aca="true" t="shared" si="48" ref="G596:G607">H596+I596</f>
        <v>0</v>
      </c>
      <c r="H596" s="74">
        <f>H597</f>
        <v>0</v>
      </c>
      <c r="I596" s="74"/>
    </row>
    <row r="597" spans="1:9" ht="42.75" customHeight="1" hidden="1">
      <c r="A597" s="14" t="s">
        <v>211</v>
      </c>
      <c r="B597" s="17" t="s">
        <v>401</v>
      </c>
      <c r="C597" s="30" t="s">
        <v>380</v>
      </c>
      <c r="D597" s="30" t="s">
        <v>149</v>
      </c>
      <c r="E597" s="30" t="s">
        <v>552</v>
      </c>
      <c r="F597" s="30" t="s">
        <v>212</v>
      </c>
      <c r="G597" s="74">
        <f t="shared" si="48"/>
        <v>0</v>
      </c>
      <c r="H597" s="74">
        <f>H598</f>
        <v>0</v>
      </c>
      <c r="I597" s="74"/>
    </row>
    <row r="598" spans="1:9" ht="24.75" customHeight="1" hidden="1">
      <c r="A598" s="14" t="s">
        <v>213</v>
      </c>
      <c r="B598" s="17" t="s">
        <v>401</v>
      </c>
      <c r="C598" s="30" t="s">
        <v>380</v>
      </c>
      <c r="D598" s="30" t="s">
        <v>149</v>
      </c>
      <c r="E598" s="30" t="s">
        <v>552</v>
      </c>
      <c r="F598" s="30" t="s">
        <v>279</v>
      </c>
      <c r="G598" s="74">
        <f t="shared" si="48"/>
        <v>0</v>
      </c>
      <c r="H598" s="74">
        <v>0</v>
      </c>
      <c r="I598" s="74"/>
    </row>
    <row r="599" spans="1:9" ht="13.5">
      <c r="A599" s="68" t="s">
        <v>430</v>
      </c>
      <c r="B599" s="150" t="s">
        <v>401</v>
      </c>
      <c r="C599" s="69" t="s">
        <v>380</v>
      </c>
      <c r="D599" s="69" t="s">
        <v>151</v>
      </c>
      <c r="E599" s="69" t="s">
        <v>311</v>
      </c>
      <c r="F599" s="69" t="s">
        <v>398</v>
      </c>
      <c r="G599" s="82">
        <f t="shared" si="48"/>
        <v>339672.73589</v>
      </c>
      <c r="H599" s="107">
        <f>H600+H634+H649</f>
        <v>118644.4512</v>
      </c>
      <c r="I599" s="107">
        <f>I600+I634+I646+I614</f>
        <v>221028.28469</v>
      </c>
    </row>
    <row r="600" spans="1:9" ht="41.25">
      <c r="A600" s="45" t="s">
        <v>452</v>
      </c>
      <c r="B600" s="148" t="s">
        <v>401</v>
      </c>
      <c r="C600" s="49" t="s">
        <v>380</v>
      </c>
      <c r="D600" s="49" t="s">
        <v>151</v>
      </c>
      <c r="E600" s="49" t="s">
        <v>35</v>
      </c>
      <c r="F600" s="49" t="s">
        <v>398</v>
      </c>
      <c r="G600" s="83">
        <f t="shared" si="48"/>
        <v>118644.4512</v>
      </c>
      <c r="H600" s="106">
        <f>H601+H621+H628</f>
        <v>118644.4512</v>
      </c>
      <c r="I600" s="106">
        <f>I601+I605+I621+I628</f>
        <v>0</v>
      </c>
    </row>
    <row r="601" spans="1:9" ht="41.25">
      <c r="A601" s="70" t="s">
        <v>253</v>
      </c>
      <c r="B601" s="66" t="s">
        <v>401</v>
      </c>
      <c r="C601" s="30" t="s">
        <v>380</v>
      </c>
      <c r="D601" s="30" t="s">
        <v>151</v>
      </c>
      <c r="E601" s="30" t="s">
        <v>53</v>
      </c>
      <c r="F601" s="30" t="s">
        <v>398</v>
      </c>
      <c r="G601" s="74">
        <f t="shared" si="48"/>
        <v>116759.9512</v>
      </c>
      <c r="H601" s="95">
        <f>H602+H605+H612+H609+H614</f>
        <v>116759.9512</v>
      </c>
      <c r="I601" s="95">
        <f>I602+I605</f>
        <v>0</v>
      </c>
    </row>
    <row r="602" spans="1:9" ht="27">
      <c r="A602" s="14" t="s">
        <v>246</v>
      </c>
      <c r="B602" s="66" t="s">
        <v>401</v>
      </c>
      <c r="C602" s="30" t="s">
        <v>380</v>
      </c>
      <c r="D602" s="30" t="s">
        <v>151</v>
      </c>
      <c r="E602" s="30" t="s">
        <v>54</v>
      </c>
      <c r="F602" s="30" t="s">
        <v>398</v>
      </c>
      <c r="G602" s="74">
        <f t="shared" si="48"/>
        <v>1425.044</v>
      </c>
      <c r="H602" s="74">
        <f>H603</f>
        <v>1425.044</v>
      </c>
      <c r="I602" s="95">
        <f>I603</f>
        <v>0</v>
      </c>
    </row>
    <row r="603" spans="1:9" ht="41.25">
      <c r="A603" s="14" t="s">
        <v>211</v>
      </c>
      <c r="B603" s="66" t="s">
        <v>401</v>
      </c>
      <c r="C603" s="30" t="s">
        <v>380</v>
      </c>
      <c r="D603" s="30" t="s">
        <v>151</v>
      </c>
      <c r="E603" s="30" t="s">
        <v>54</v>
      </c>
      <c r="F603" s="30" t="s">
        <v>212</v>
      </c>
      <c r="G603" s="74">
        <f t="shared" si="48"/>
        <v>1425.044</v>
      </c>
      <c r="H603" s="95">
        <f>H604</f>
        <v>1425.044</v>
      </c>
      <c r="I603" s="95">
        <f>I604</f>
        <v>0</v>
      </c>
    </row>
    <row r="604" spans="1:9" ht="13.5">
      <c r="A604" s="37" t="s">
        <v>213</v>
      </c>
      <c r="B604" s="66" t="s">
        <v>401</v>
      </c>
      <c r="C604" s="30" t="s">
        <v>380</v>
      </c>
      <c r="D604" s="30" t="s">
        <v>151</v>
      </c>
      <c r="E604" s="30" t="s">
        <v>55</v>
      </c>
      <c r="F604" s="30" t="s">
        <v>279</v>
      </c>
      <c r="G604" s="74">
        <f t="shared" si="48"/>
        <v>1425.044</v>
      </c>
      <c r="H604" s="74">
        <f>750+370+60+110+40+95.044</f>
        <v>1425.044</v>
      </c>
      <c r="I604" s="95"/>
    </row>
    <row r="605" spans="1:9" ht="82.5">
      <c r="A605" s="14" t="s">
        <v>816</v>
      </c>
      <c r="B605" s="17" t="s">
        <v>401</v>
      </c>
      <c r="C605" s="30" t="s">
        <v>380</v>
      </c>
      <c r="D605" s="30" t="s">
        <v>151</v>
      </c>
      <c r="E605" s="30" t="s">
        <v>54</v>
      </c>
      <c r="F605" s="30" t="s">
        <v>398</v>
      </c>
      <c r="G605" s="74">
        <f t="shared" si="48"/>
        <v>114783.03999</v>
      </c>
      <c r="H605" s="74">
        <f>H606</f>
        <v>114783.03999</v>
      </c>
      <c r="I605" s="74">
        <f>I606</f>
        <v>0</v>
      </c>
    </row>
    <row r="606" spans="1:9" ht="41.25">
      <c r="A606" s="14" t="s">
        <v>211</v>
      </c>
      <c r="B606" s="66" t="s">
        <v>401</v>
      </c>
      <c r="C606" s="30" t="s">
        <v>380</v>
      </c>
      <c r="D606" s="30" t="s">
        <v>151</v>
      </c>
      <c r="E606" s="30" t="s">
        <v>54</v>
      </c>
      <c r="F606" s="30" t="s">
        <v>212</v>
      </c>
      <c r="G606" s="74">
        <f t="shared" si="48"/>
        <v>114783.03999</v>
      </c>
      <c r="H606" s="95">
        <f>H607</f>
        <v>114783.03999</v>
      </c>
      <c r="I606" s="95">
        <f>I607</f>
        <v>0</v>
      </c>
    </row>
    <row r="607" spans="1:9" ht="22.5" customHeight="1">
      <c r="A607" s="14" t="s">
        <v>213</v>
      </c>
      <c r="B607" s="66" t="s">
        <v>401</v>
      </c>
      <c r="C607" s="30" t="s">
        <v>380</v>
      </c>
      <c r="D607" s="30" t="s">
        <v>151</v>
      </c>
      <c r="E607" s="30" t="s">
        <v>56</v>
      </c>
      <c r="F607" s="30" t="s">
        <v>279</v>
      </c>
      <c r="G607" s="74">
        <f t="shared" si="48"/>
        <v>114783.03999</v>
      </c>
      <c r="H607" s="74">
        <f>87617.981-240-881.116-100+1061.26+900+2126.427+6827.9+133+2.3+3300+165+320+511+2915.69134+4034+2120+3789.59665+180</f>
        <v>114783.03999</v>
      </c>
      <c r="I607" s="95"/>
    </row>
    <row r="608" spans="1:9" ht="13.5" hidden="1">
      <c r="A608" s="14"/>
      <c r="B608" s="66" t="s">
        <v>401</v>
      </c>
      <c r="C608" s="30" t="s">
        <v>380</v>
      </c>
      <c r="D608" s="30" t="s">
        <v>151</v>
      </c>
      <c r="E608" s="30" t="s">
        <v>56</v>
      </c>
      <c r="F608" s="30" t="s">
        <v>279</v>
      </c>
      <c r="G608" s="74"/>
      <c r="H608" s="74"/>
      <c r="I608" s="95"/>
    </row>
    <row r="609" spans="1:9" ht="69" hidden="1">
      <c r="A609" s="14" t="s">
        <v>657</v>
      </c>
      <c r="B609" s="17" t="s">
        <v>401</v>
      </c>
      <c r="C609" s="30" t="s">
        <v>380</v>
      </c>
      <c r="D609" s="30" t="s">
        <v>151</v>
      </c>
      <c r="E609" s="30" t="s">
        <v>648</v>
      </c>
      <c r="F609" s="30" t="s">
        <v>398</v>
      </c>
      <c r="G609" s="74">
        <f>H609</f>
        <v>0</v>
      </c>
      <c r="H609" s="74">
        <f>H610</f>
        <v>0</v>
      </c>
      <c r="I609" s="74"/>
    </row>
    <row r="610" spans="1:9" ht="41.25" hidden="1">
      <c r="A610" s="14" t="s">
        <v>211</v>
      </c>
      <c r="B610" s="17" t="s">
        <v>401</v>
      </c>
      <c r="C610" s="30" t="s">
        <v>380</v>
      </c>
      <c r="D610" s="30" t="s">
        <v>151</v>
      </c>
      <c r="E610" s="30" t="s">
        <v>648</v>
      </c>
      <c r="F610" s="30" t="s">
        <v>212</v>
      </c>
      <c r="G610" s="74">
        <f>H610</f>
        <v>0</v>
      </c>
      <c r="H610" s="74">
        <f>H611</f>
        <v>0</v>
      </c>
      <c r="I610" s="74"/>
    </row>
    <row r="611" spans="1:9" ht="21.75" customHeight="1" hidden="1">
      <c r="A611" s="14" t="s">
        <v>213</v>
      </c>
      <c r="B611" s="17" t="s">
        <v>401</v>
      </c>
      <c r="C611" s="30" t="s">
        <v>380</v>
      </c>
      <c r="D611" s="30" t="s">
        <v>151</v>
      </c>
      <c r="E611" s="30" t="s">
        <v>648</v>
      </c>
      <c r="F611" s="30" t="s">
        <v>279</v>
      </c>
      <c r="G611" s="74">
        <f>H611</f>
        <v>0</v>
      </c>
      <c r="H611" s="74"/>
      <c r="I611" s="74"/>
    </row>
    <row r="612" spans="1:9" ht="41.25">
      <c r="A612" s="14" t="s">
        <v>211</v>
      </c>
      <c r="B612" s="66" t="s">
        <v>401</v>
      </c>
      <c r="C612" s="30" t="s">
        <v>380</v>
      </c>
      <c r="D612" s="30" t="s">
        <v>151</v>
      </c>
      <c r="E612" s="30" t="s">
        <v>765</v>
      </c>
      <c r="F612" s="30" t="s">
        <v>212</v>
      </c>
      <c r="G612" s="74">
        <f aca="true" t="shared" si="49" ref="G612:G645">H612+I612</f>
        <v>457</v>
      </c>
      <c r="H612" s="74">
        <f>H613</f>
        <v>457</v>
      </c>
      <c r="I612" s="95">
        <f>I613</f>
        <v>0</v>
      </c>
    </row>
    <row r="613" spans="1:9" ht="30.75" customHeight="1">
      <c r="A613" s="45" t="s">
        <v>769</v>
      </c>
      <c r="B613" s="63" t="s">
        <v>401</v>
      </c>
      <c r="C613" s="49" t="s">
        <v>380</v>
      </c>
      <c r="D613" s="49" t="s">
        <v>151</v>
      </c>
      <c r="E613" s="49" t="s">
        <v>765</v>
      </c>
      <c r="F613" s="49" t="s">
        <v>279</v>
      </c>
      <c r="G613" s="83">
        <f t="shared" si="49"/>
        <v>457</v>
      </c>
      <c r="H613" s="83">
        <v>457</v>
      </c>
      <c r="I613" s="83">
        <v>0</v>
      </c>
    </row>
    <row r="614" spans="1:9" ht="42.75">
      <c r="A614" s="64" t="s">
        <v>844</v>
      </c>
      <c r="B614" s="75" t="s">
        <v>401</v>
      </c>
      <c r="C614" s="69" t="s">
        <v>380</v>
      </c>
      <c r="D614" s="69" t="s">
        <v>151</v>
      </c>
      <c r="E614" s="62" t="s">
        <v>53</v>
      </c>
      <c r="F614" s="62" t="s">
        <v>398</v>
      </c>
      <c r="G614" s="77">
        <f t="shared" si="49"/>
        <v>9486.719899999998</v>
      </c>
      <c r="H614" s="77">
        <f>H618</f>
        <v>94.86721000000003</v>
      </c>
      <c r="I614" s="77">
        <f>I616</f>
        <v>9391.852689999998</v>
      </c>
    </row>
    <row r="615" spans="1:9" ht="41.25">
      <c r="A615" s="14" t="s">
        <v>827</v>
      </c>
      <c r="B615" s="17" t="s">
        <v>401</v>
      </c>
      <c r="C615" s="30" t="s">
        <v>380</v>
      </c>
      <c r="D615" s="30" t="s">
        <v>151</v>
      </c>
      <c r="E615" s="30" t="s">
        <v>828</v>
      </c>
      <c r="F615" s="30" t="s">
        <v>398</v>
      </c>
      <c r="G615" s="74">
        <f t="shared" si="49"/>
        <v>9391.852689999998</v>
      </c>
      <c r="H615" s="74"/>
      <c r="I615" s="74">
        <f>I616</f>
        <v>9391.852689999998</v>
      </c>
    </row>
    <row r="616" spans="1:9" ht="41.25">
      <c r="A616" s="14" t="s">
        <v>211</v>
      </c>
      <c r="B616" s="66" t="s">
        <v>401</v>
      </c>
      <c r="C616" s="30" t="s">
        <v>380</v>
      </c>
      <c r="D616" s="30" t="s">
        <v>151</v>
      </c>
      <c r="E616" s="30" t="s">
        <v>828</v>
      </c>
      <c r="F616" s="30" t="s">
        <v>212</v>
      </c>
      <c r="G616" s="74">
        <f t="shared" si="49"/>
        <v>9391.852689999998</v>
      </c>
      <c r="H616" s="74">
        <f>H617</f>
        <v>0</v>
      </c>
      <c r="I616" s="74">
        <f>I617</f>
        <v>9391.852689999998</v>
      </c>
    </row>
    <row r="617" spans="1:9" ht="14.25">
      <c r="A617" s="14" t="s">
        <v>213</v>
      </c>
      <c r="B617" s="66" t="s">
        <v>401</v>
      </c>
      <c r="C617" s="30" t="s">
        <v>380</v>
      </c>
      <c r="D617" s="30" t="s">
        <v>151</v>
      </c>
      <c r="E617" s="30" t="s">
        <v>828</v>
      </c>
      <c r="F617" s="30" t="s">
        <v>279</v>
      </c>
      <c r="G617" s="74">
        <f t="shared" si="49"/>
        <v>9391.852689999998</v>
      </c>
      <c r="H617" s="77"/>
      <c r="I617" s="74">
        <f>11729.4507-1794.60596-542.99205</f>
        <v>9391.852689999998</v>
      </c>
    </row>
    <row r="618" spans="1:9" ht="69">
      <c r="A618" s="14" t="s">
        <v>741</v>
      </c>
      <c r="B618" s="66" t="s">
        <v>401</v>
      </c>
      <c r="C618" s="30" t="s">
        <v>380</v>
      </c>
      <c r="D618" s="30" t="s">
        <v>151</v>
      </c>
      <c r="E618" s="17" t="s">
        <v>742</v>
      </c>
      <c r="F618" s="30" t="s">
        <v>398</v>
      </c>
      <c r="G618" s="74">
        <f t="shared" si="49"/>
        <v>94.86721000000003</v>
      </c>
      <c r="H618" s="74">
        <f>H619</f>
        <v>94.86721000000003</v>
      </c>
      <c r="I618" s="74">
        <f>I619</f>
        <v>0</v>
      </c>
    </row>
    <row r="619" spans="1:9" ht="41.25">
      <c r="A619" s="14" t="s">
        <v>211</v>
      </c>
      <c r="B619" s="66" t="s">
        <v>401</v>
      </c>
      <c r="C619" s="30" t="s">
        <v>380</v>
      </c>
      <c r="D619" s="30" t="s">
        <v>151</v>
      </c>
      <c r="E619" s="17" t="s">
        <v>742</v>
      </c>
      <c r="F619" s="30" t="s">
        <v>212</v>
      </c>
      <c r="G619" s="74">
        <f t="shared" si="49"/>
        <v>94.86721000000003</v>
      </c>
      <c r="H619" s="74">
        <f>H620</f>
        <v>94.86721000000003</v>
      </c>
      <c r="I619" s="74">
        <f>I620</f>
        <v>0</v>
      </c>
    </row>
    <row r="620" spans="1:9" ht="13.5">
      <c r="A620" s="14" t="s">
        <v>213</v>
      </c>
      <c r="B620" s="66" t="s">
        <v>401</v>
      </c>
      <c r="C620" s="30" t="s">
        <v>380</v>
      </c>
      <c r="D620" s="30" t="s">
        <v>151</v>
      </c>
      <c r="E620" s="17" t="s">
        <v>742</v>
      </c>
      <c r="F620" s="30" t="s">
        <v>279</v>
      </c>
      <c r="G620" s="74">
        <f t="shared" si="49"/>
        <v>94.86721000000003</v>
      </c>
      <c r="H620" s="74">
        <f>427.19065-289.05627-43.26717</f>
        <v>94.86721000000003</v>
      </c>
      <c r="I620" s="95">
        <v>0</v>
      </c>
    </row>
    <row r="621" spans="1:9" ht="31.5" customHeight="1">
      <c r="A621" s="70" t="s">
        <v>251</v>
      </c>
      <c r="B621" s="66" t="s">
        <v>401</v>
      </c>
      <c r="C621" s="30" t="s">
        <v>380</v>
      </c>
      <c r="D621" s="30" t="s">
        <v>151</v>
      </c>
      <c r="E621" s="30" t="s">
        <v>57</v>
      </c>
      <c r="F621" s="30" t="s">
        <v>398</v>
      </c>
      <c r="G621" s="74">
        <f t="shared" si="49"/>
        <v>1884.5</v>
      </c>
      <c r="H621" s="74">
        <f>H622+H625</f>
        <v>1884.5</v>
      </c>
      <c r="I621" s="95">
        <f>I622+I625</f>
        <v>0</v>
      </c>
    </row>
    <row r="622" spans="1:9" ht="27">
      <c r="A622" s="45" t="s">
        <v>252</v>
      </c>
      <c r="B622" s="148" t="s">
        <v>401</v>
      </c>
      <c r="C622" s="49" t="s">
        <v>380</v>
      </c>
      <c r="D622" s="49" t="s">
        <v>151</v>
      </c>
      <c r="E622" s="49" t="s">
        <v>58</v>
      </c>
      <c r="F622" s="49" t="s">
        <v>398</v>
      </c>
      <c r="G622" s="83">
        <f t="shared" si="49"/>
        <v>250</v>
      </c>
      <c r="H622" s="106">
        <f>H623</f>
        <v>250</v>
      </c>
      <c r="I622" s="106">
        <f>I623</f>
        <v>0</v>
      </c>
    </row>
    <row r="623" spans="1:9" ht="41.25">
      <c r="A623" s="14" t="s">
        <v>211</v>
      </c>
      <c r="B623" s="66" t="s">
        <v>401</v>
      </c>
      <c r="C623" s="30" t="s">
        <v>380</v>
      </c>
      <c r="D623" s="30" t="s">
        <v>151</v>
      </c>
      <c r="E623" s="30" t="s">
        <v>58</v>
      </c>
      <c r="F623" s="30" t="s">
        <v>212</v>
      </c>
      <c r="G623" s="74">
        <f t="shared" si="49"/>
        <v>250</v>
      </c>
      <c r="H623" s="95">
        <f>H624</f>
        <v>250</v>
      </c>
      <c r="I623" s="95">
        <f>I624</f>
        <v>0</v>
      </c>
    </row>
    <row r="624" spans="1:9" ht="13.5">
      <c r="A624" s="37" t="s">
        <v>213</v>
      </c>
      <c r="B624" s="66" t="s">
        <v>401</v>
      </c>
      <c r="C624" s="30" t="s">
        <v>380</v>
      </c>
      <c r="D624" s="30" t="s">
        <v>151</v>
      </c>
      <c r="E624" s="30" t="s">
        <v>59</v>
      </c>
      <c r="F624" s="30" t="s">
        <v>279</v>
      </c>
      <c r="G624" s="74">
        <f t="shared" si="49"/>
        <v>250</v>
      </c>
      <c r="H624" s="74">
        <v>250</v>
      </c>
      <c r="I624" s="95"/>
    </row>
    <row r="625" spans="1:9" ht="27">
      <c r="A625" s="45" t="s">
        <v>247</v>
      </c>
      <c r="B625" s="148" t="s">
        <v>401</v>
      </c>
      <c r="C625" s="49" t="s">
        <v>380</v>
      </c>
      <c r="D625" s="49" t="s">
        <v>151</v>
      </c>
      <c r="E625" s="49" t="s">
        <v>58</v>
      </c>
      <c r="F625" s="49" t="s">
        <v>398</v>
      </c>
      <c r="G625" s="83">
        <f t="shared" si="49"/>
        <v>1634.5</v>
      </c>
      <c r="H625" s="106">
        <f>H626</f>
        <v>1634.5</v>
      </c>
      <c r="I625" s="106">
        <f>I626</f>
        <v>0</v>
      </c>
    </row>
    <row r="626" spans="1:9" ht="41.25">
      <c r="A626" s="14" t="s">
        <v>211</v>
      </c>
      <c r="B626" s="66" t="s">
        <v>401</v>
      </c>
      <c r="C626" s="30" t="s">
        <v>380</v>
      </c>
      <c r="D626" s="30" t="s">
        <v>151</v>
      </c>
      <c r="E626" s="30" t="s">
        <v>58</v>
      </c>
      <c r="F626" s="30" t="s">
        <v>212</v>
      </c>
      <c r="G626" s="74">
        <f t="shared" si="49"/>
        <v>1634.5</v>
      </c>
      <c r="H626" s="95">
        <f>H627</f>
        <v>1634.5</v>
      </c>
      <c r="I626" s="95">
        <f>I627</f>
        <v>0</v>
      </c>
    </row>
    <row r="627" spans="1:9" ht="13.5">
      <c r="A627" s="37" t="s">
        <v>422</v>
      </c>
      <c r="B627" s="66" t="s">
        <v>401</v>
      </c>
      <c r="C627" s="30" t="s">
        <v>380</v>
      </c>
      <c r="D627" s="30" t="s">
        <v>151</v>
      </c>
      <c r="E627" s="30" t="s">
        <v>60</v>
      </c>
      <c r="F627" s="30" t="s">
        <v>279</v>
      </c>
      <c r="G627" s="74">
        <f t="shared" si="49"/>
        <v>1634.5</v>
      </c>
      <c r="H627" s="74">
        <f>1503+31.5+100</f>
        <v>1634.5</v>
      </c>
      <c r="I627" s="95"/>
    </row>
    <row r="628" spans="1:9" ht="27" hidden="1">
      <c r="A628" s="70" t="s">
        <v>281</v>
      </c>
      <c r="B628" s="66" t="s">
        <v>401</v>
      </c>
      <c r="C628" s="30" t="s">
        <v>380</v>
      </c>
      <c r="D628" s="30" t="s">
        <v>151</v>
      </c>
      <c r="E628" s="30" t="s">
        <v>61</v>
      </c>
      <c r="F628" s="30" t="s">
        <v>398</v>
      </c>
      <c r="G628" s="74">
        <f t="shared" si="49"/>
        <v>0</v>
      </c>
      <c r="H628" s="95">
        <f>H629</f>
        <v>0</v>
      </c>
      <c r="I628" s="95"/>
    </row>
    <row r="629" spans="1:9" ht="41.25" hidden="1">
      <c r="A629" s="14" t="s">
        <v>211</v>
      </c>
      <c r="B629" s="66" t="s">
        <v>401</v>
      </c>
      <c r="C629" s="30" t="s">
        <v>380</v>
      </c>
      <c r="D629" s="30" t="s">
        <v>151</v>
      </c>
      <c r="E629" s="30" t="s">
        <v>62</v>
      </c>
      <c r="F629" s="30" t="s">
        <v>398</v>
      </c>
      <c r="G629" s="74">
        <f t="shared" si="49"/>
        <v>0</v>
      </c>
      <c r="H629" s="74">
        <f>H630+H631</f>
        <v>0</v>
      </c>
      <c r="I629" s="95"/>
    </row>
    <row r="630" spans="1:9" ht="27" hidden="1">
      <c r="A630" s="14" t="s">
        <v>130</v>
      </c>
      <c r="B630" s="66" t="s">
        <v>401</v>
      </c>
      <c r="C630" s="30" t="s">
        <v>380</v>
      </c>
      <c r="D630" s="30" t="s">
        <v>151</v>
      </c>
      <c r="E630" s="30" t="s">
        <v>63</v>
      </c>
      <c r="F630" s="30" t="s">
        <v>279</v>
      </c>
      <c r="G630" s="74">
        <f t="shared" si="49"/>
        <v>0</v>
      </c>
      <c r="H630" s="74"/>
      <c r="I630" s="95"/>
    </row>
    <row r="631" spans="1:9" ht="27" hidden="1">
      <c r="A631" s="14" t="s">
        <v>131</v>
      </c>
      <c r="B631" s="66" t="s">
        <v>401</v>
      </c>
      <c r="C631" s="30" t="s">
        <v>380</v>
      </c>
      <c r="D631" s="30" t="s">
        <v>151</v>
      </c>
      <c r="E631" s="30" t="s">
        <v>64</v>
      </c>
      <c r="F631" s="30" t="s">
        <v>279</v>
      </c>
      <c r="G631" s="74">
        <f t="shared" si="49"/>
        <v>0</v>
      </c>
      <c r="H631" s="74"/>
      <c r="I631" s="95"/>
    </row>
    <row r="632" spans="1:9" ht="41.25">
      <c r="A632" s="45" t="s">
        <v>452</v>
      </c>
      <c r="B632" s="148" t="s">
        <v>401</v>
      </c>
      <c r="C632" s="49" t="s">
        <v>380</v>
      </c>
      <c r="D632" s="49" t="s">
        <v>151</v>
      </c>
      <c r="E632" s="49" t="s">
        <v>35</v>
      </c>
      <c r="F632" s="49" t="s">
        <v>398</v>
      </c>
      <c r="G632" s="74">
        <f t="shared" si="49"/>
        <v>192331.432</v>
      </c>
      <c r="H632" s="74">
        <f>H633</f>
        <v>0</v>
      </c>
      <c r="I632" s="74">
        <f>I633</f>
        <v>192331.432</v>
      </c>
    </row>
    <row r="633" spans="1:9" ht="48" customHeight="1">
      <c r="A633" s="70" t="s">
        <v>253</v>
      </c>
      <c r="B633" s="66" t="s">
        <v>401</v>
      </c>
      <c r="C633" s="30" t="s">
        <v>380</v>
      </c>
      <c r="D633" s="30" t="s">
        <v>151</v>
      </c>
      <c r="E633" s="30" t="s">
        <v>53</v>
      </c>
      <c r="F633" s="30" t="s">
        <v>398</v>
      </c>
      <c r="G633" s="74">
        <f t="shared" si="49"/>
        <v>192331.432</v>
      </c>
      <c r="H633" s="74">
        <f>H634</f>
        <v>0</v>
      </c>
      <c r="I633" s="74">
        <f>I634</f>
        <v>192331.432</v>
      </c>
    </row>
    <row r="634" spans="1:9" ht="13.5">
      <c r="A634" s="14" t="s">
        <v>169</v>
      </c>
      <c r="B634" s="66" t="s">
        <v>401</v>
      </c>
      <c r="C634" s="30" t="s">
        <v>380</v>
      </c>
      <c r="D634" s="30" t="s">
        <v>151</v>
      </c>
      <c r="E634" s="30" t="s">
        <v>311</v>
      </c>
      <c r="F634" s="30" t="s">
        <v>398</v>
      </c>
      <c r="G634" s="74">
        <f t="shared" si="49"/>
        <v>192331.432</v>
      </c>
      <c r="H634" s="95">
        <f>H635+H637+H643</f>
        <v>0</v>
      </c>
      <c r="I634" s="95">
        <f>I635+I637+I640+I643</f>
        <v>192331.432</v>
      </c>
    </row>
    <row r="635" spans="1:9" ht="55.5" customHeight="1" hidden="1">
      <c r="A635" s="14" t="s">
        <v>181</v>
      </c>
      <c r="B635" s="66" t="s">
        <v>401</v>
      </c>
      <c r="C635" s="30" t="s">
        <v>380</v>
      </c>
      <c r="D635" s="30" t="s">
        <v>151</v>
      </c>
      <c r="E635" s="30" t="s">
        <v>132</v>
      </c>
      <c r="F635" s="30" t="s">
        <v>398</v>
      </c>
      <c r="G635" s="74">
        <f t="shared" si="49"/>
        <v>0</v>
      </c>
      <c r="H635" s="95">
        <f>H636</f>
        <v>0</v>
      </c>
      <c r="I635" s="95">
        <f>I636</f>
        <v>0</v>
      </c>
    </row>
    <row r="636" spans="1:9" ht="13.5" hidden="1">
      <c r="A636" s="14" t="s">
        <v>169</v>
      </c>
      <c r="B636" s="66" t="s">
        <v>401</v>
      </c>
      <c r="C636" s="30" t="s">
        <v>380</v>
      </c>
      <c r="D636" s="30" t="s">
        <v>151</v>
      </c>
      <c r="E636" s="30" t="s">
        <v>132</v>
      </c>
      <c r="F636" s="30" t="s">
        <v>362</v>
      </c>
      <c r="G636" s="74">
        <f t="shared" si="49"/>
        <v>0</v>
      </c>
      <c r="H636" s="95"/>
      <c r="I636" s="95"/>
    </row>
    <row r="637" spans="1:9" ht="44.25" customHeight="1">
      <c r="A637" s="14" t="s">
        <v>556</v>
      </c>
      <c r="B637" s="66" t="s">
        <v>401</v>
      </c>
      <c r="C637" s="30" t="s">
        <v>380</v>
      </c>
      <c r="D637" s="30" t="s">
        <v>151</v>
      </c>
      <c r="E637" s="30" t="s">
        <v>53</v>
      </c>
      <c r="F637" s="30" t="s">
        <v>398</v>
      </c>
      <c r="G637" s="74">
        <f t="shared" si="49"/>
        <v>8825.95</v>
      </c>
      <c r="H637" s="95">
        <f>H638</f>
        <v>0</v>
      </c>
      <c r="I637" s="95">
        <f>I638</f>
        <v>8825.95</v>
      </c>
    </row>
    <row r="638" spans="1:9" ht="41.25">
      <c r="A638" s="14" t="s">
        <v>211</v>
      </c>
      <c r="B638" s="17" t="s">
        <v>401</v>
      </c>
      <c r="C638" s="30" t="s">
        <v>380</v>
      </c>
      <c r="D638" s="30" t="s">
        <v>151</v>
      </c>
      <c r="E638" s="30" t="s">
        <v>557</v>
      </c>
      <c r="F638" s="30" t="s">
        <v>212</v>
      </c>
      <c r="G638" s="74">
        <f t="shared" si="49"/>
        <v>8825.95</v>
      </c>
      <c r="H638" s="74"/>
      <c r="I638" s="74">
        <f>I639</f>
        <v>8825.95</v>
      </c>
    </row>
    <row r="639" spans="1:9" ht="13.5">
      <c r="A639" s="37" t="s">
        <v>213</v>
      </c>
      <c r="B639" s="17" t="s">
        <v>401</v>
      </c>
      <c r="C639" s="30" t="s">
        <v>380</v>
      </c>
      <c r="D639" s="30" t="s">
        <v>151</v>
      </c>
      <c r="E639" s="30" t="s">
        <v>557</v>
      </c>
      <c r="F639" s="30" t="s">
        <v>279</v>
      </c>
      <c r="G639" s="74">
        <f t="shared" si="49"/>
        <v>8825.95</v>
      </c>
      <c r="H639" s="74"/>
      <c r="I639" s="74">
        <f>7825.95+1000</f>
        <v>8825.95</v>
      </c>
    </row>
    <row r="640" spans="1:9" ht="69.75" customHeight="1">
      <c r="A640" s="45" t="s">
        <v>729</v>
      </c>
      <c r="B640" s="63" t="s">
        <v>401</v>
      </c>
      <c r="C640" s="49" t="s">
        <v>380</v>
      </c>
      <c r="D640" s="49" t="s">
        <v>151</v>
      </c>
      <c r="E640" s="49" t="s">
        <v>930</v>
      </c>
      <c r="F640" s="49" t="s">
        <v>398</v>
      </c>
      <c r="G640" s="83">
        <f t="shared" si="49"/>
        <v>10900.4</v>
      </c>
      <c r="H640" s="83">
        <v>0</v>
      </c>
      <c r="I640" s="83">
        <f>I641</f>
        <v>10900.4</v>
      </c>
    </row>
    <row r="641" spans="1:9" ht="41.25">
      <c r="A641" s="14" t="s">
        <v>211</v>
      </c>
      <c r="B641" s="17" t="s">
        <v>401</v>
      </c>
      <c r="C641" s="30" t="s">
        <v>380</v>
      </c>
      <c r="D641" s="30" t="s">
        <v>151</v>
      </c>
      <c r="E641" s="30" t="s">
        <v>930</v>
      </c>
      <c r="F641" s="30" t="s">
        <v>212</v>
      </c>
      <c r="G641" s="74">
        <f t="shared" si="49"/>
        <v>10900.4</v>
      </c>
      <c r="H641" s="74"/>
      <c r="I641" s="74">
        <f>I642</f>
        <v>10900.4</v>
      </c>
    </row>
    <row r="642" spans="1:9" ht="13.5">
      <c r="A642" s="14" t="s">
        <v>213</v>
      </c>
      <c r="B642" s="17" t="s">
        <v>401</v>
      </c>
      <c r="C642" s="30" t="s">
        <v>380</v>
      </c>
      <c r="D642" s="30" t="s">
        <v>151</v>
      </c>
      <c r="E642" s="30" t="s">
        <v>930</v>
      </c>
      <c r="F642" s="30" t="s">
        <v>279</v>
      </c>
      <c r="G642" s="74">
        <f t="shared" si="49"/>
        <v>10900.4</v>
      </c>
      <c r="H642" s="74"/>
      <c r="I642" s="74">
        <v>10900.4</v>
      </c>
    </row>
    <row r="643" spans="1:9" ht="73.5" customHeight="1">
      <c r="A643" s="14" t="s">
        <v>182</v>
      </c>
      <c r="B643" s="66" t="s">
        <v>401</v>
      </c>
      <c r="C643" s="30" t="s">
        <v>380</v>
      </c>
      <c r="D643" s="30" t="s">
        <v>151</v>
      </c>
      <c r="E643" s="30" t="s">
        <v>67</v>
      </c>
      <c r="F643" s="30" t="s">
        <v>398</v>
      </c>
      <c r="G643" s="74">
        <f t="shared" si="49"/>
        <v>172605.082</v>
      </c>
      <c r="H643" s="95">
        <f>H644</f>
        <v>0</v>
      </c>
      <c r="I643" s="95">
        <f>I644</f>
        <v>172605.082</v>
      </c>
    </row>
    <row r="644" spans="1:9" ht="41.25">
      <c r="A644" s="14" t="s">
        <v>211</v>
      </c>
      <c r="B644" s="66" t="s">
        <v>401</v>
      </c>
      <c r="C644" s="30" t="s">
        <v>380</v>
      </c>
      <c r="D644" s="30" t="s">
        <v>151</v>
      </c>
      <c r="E644" s="30" t="s">
        <v>67</v>
      </c>
      <c r="F644" s="30" t="s">
        <v>212</v>
      </c>
      <c r="G644" s="74">
        <f t="shared" si="49"/>
        <v>172605.082</v>
      </c>
      <c r="H644" s="95"/>
      <c r="I644" s="74">
        <f>I645</f>
        <v>172605.082</v>
      </c>
    </row>
    <row r="645" spans="1:9" ht="13.5">
      <c r="A645" s="14" t="s">
        <v>213</v>
      </c>
      <c r="B645" s="66" t="s">
        <v>401</v>
      </c>
      <c r="C645" s="30" t="s">
        <v>380</v>
      </c>
      <c r="D645" s="30" t="s">
        <v>151</v>
      </c>
      <c r="E645" s="30" t="s">
        <v>67</v>
      </c>
      <c r="F645" s="30" t="s">
        <v>279</v>
      </c>
      <c r="G645" s="74">
        <f t="shared" si="49"/>
        <v>172605.082</v>
      </c>
      <c r="H645" s="95"/>
      <c r="I645" s="74">
        <f>166876.77+5728.312</f>
        <v>172605.082</v>
      </c>
    </row>
    <row r="646" spans="1:9" s="92" customFormat="1" ht="87" customHeight="1">
      <c r="A646" s="45" t="s">
        <v>724</v>
      </c>
      <c r="B646" s="63" t="s">
        <v>401</v>
      </c>
      <c r="C646" s="49" t="s">
        <v>380</v>
      </c>
      <c r="D646" s="49" t="s">
        <v>151</v>
      </c>
      <c r="E646" s="49" t="s">
        <v>730</v>
      </c>
      <c r="F646" s="49" t="s">
        <v>398</v>
      </c>
      <c r="G646" s="83">
        <f aca="true" t="shared" si="50" ref="G646:G651">H646+I646</f>
        <v>19305</v>
      </c>
      <c r="H646" s="83">
        <v>0</v>
      </c>
      <c r="I646" s="83">
        <f>I647</f>
        <v>19305</v>
      </c>
    </row>
    <row r="647" spans="1:9" ht="41.25">
      <c r="A647" s="14" t="s">
        <v>211</v>
      </c>
      <c r="B647" s="17" t="s">
        <v>401</v>
      </c>
      <c r="C647" s="30" t="s">
        <v>380</v>
      </c>
      <c r="D647" s="30" t="s">
        <v>151</v>
      </c>
      <c r="E647" s="30" t="s">
        <v>730</v>
      </c>
      <c r="F647" s="30" t="s">
        <v>212</v>
      </c>
      <c r="G647" s="74">
        <f t="shared" si="50"/>
        <v>19305</v>
      </c>
      <c r="H647" s="74"/>
      <c r="I647" s="74">
        <f>I648</f>
        <v>19305</v>
      </c>
    </row>
    <row r="648" spans="1:9" ht="13.5">
      <c r="A648" s="14" t="s">
        <v>213</v>
      </c>
      <c r="B648" s="17" t="s">
        <v>401</v>
      </c>
      <c r="C648" s="30" t="s">
        <v>380</v>
      </c>
      <c r="D648" s="30" t="s">
        <v>151</v>
      </c>
      <c r="E648" s="30" t="s">
        <v>730</v>
      </c>
      <c r="F648" s="30" t="s">
        <v>279</v>
      </c>
      <c r="G648" s="74">
        <f t="shared" si="50"/>
        <v>19305</v>
      </c>
      <c r="H648" s="74"/>
      <c r="I648" s="74">
        <v>19305</v>
      </c>
    </row>
    <row r="649" spans="1:9" ht="41.25" hidden="1">
      <c r="A649" s="45" t="s">
        <v>763</v>
      </c>
      <c r="B649" s="63" t="s">
        <v>401</v>
      </c>
      <c r="C649" s="49" t="s">
        <v>380</v>
      </c>
      <c r="D649" s="49" t="s">
        <v>151</v>
      </c>
      <c r="E649" s="63" t="s">
        <v>18</v>
      </c>
      <c r="F649" s="49" t="s">
        <v>398</v>
      </c>
      <c r="G649" s="83">
        <f t="shared" si="50"/>
        <v>0</v>
      </c>
      <c r="H649" s="83">
        <f>H650</f>
        <v>0</v>
      </c>
      <c r="I649" s="83">
        <f>I650</f>
        <v>0</v>
      </c>
    </row>
    <row r="650" spans="1:9" ht="54.75" hidden="1">
      <c r="A650" s="14" t="s">
        <v>761</v>
      </c>
      <c r="B650" s="17" t="s">
        <v>401</v>
      </c>
      <c r="C650" s="30" t="s">
        <v>380</v>
      </c>
      <c r="D650" s="30" t="s">
        <v>151</v>
      </c>
      <c r="E650" s="17" t="s">
        <v>18</v>
      </c>
      <c r="F650" s="30" t="s">
        <v>212</v>
      </c>
      <c r="G650" s="74">
        <f t="shared" si="50"/>
        <v>0</v>
      </c>
      <c r="H650" s="74">
        <f>H651</f>
        <v>0</v>
      </c>
      <c r="I650" s="74">
        <f>I651</f>
        <v>0</v>
      </c>
    </row>
    <row r="651" spans="1:9" ht="13.5" hidden="1">
      <c r="A651" s="14" t="s">
        <v>213</v>
      </c>
      <c r="B651" s="17" t="s">
        <v>401</v>
      </c>
      <c r="C651" s="30" t="s">
        <v>380</v>
      </c>
      <c r="D651" s="30" t="s">
        <v>151</v>
      </c>
      <c r="E651" s="17" t="s">
        <v>18</v>
      </c>
      <c r="F651" s="30" t="s">
        <v>279</v>
      </c>
      <c r="G651" s="74">
        <f t="shared" si="50"/>
        <v>0</v>
      </c>
      <c r="H651" s="74">
        <v>0</v>
      </c>
      <c r="I651" s="74"/>
    </row>
    <row r="652" spans="1:9" ht="41.25">
      <c r="A652" s="45" t="s">
        <v>452</v>
      </c>
      <c r="B652" s="63" t="s">
        <v>401</v>
      </c>
      <c r="C652" s="49" t="s">
        <v>380</v>
      </c>
      <c r="D652" s="49" t="s">
        <v>156</v>
      </c>
      <c r="E652" s="49" t="s">
        <v>35</v>
      </c>
      <c r="F652" s="49" t="s">
        <v>398</v>
      </c>
      <c r="G652" s="83">
        <f aca="true" t="shared" si="51" ref="G652:G661">H652+I652</f>
        <v>26665.035</v>
      </c>
      <c r="H652" s="83">
        <f>H653</f>
        <v>26665.035</v>
      </c>
      <c r="I652" s="83">
        <f>I653</f>
        <v>0</v>
      </c>
    </row>
    <row r="653" spans="1:9" ht="33" customHeight="1">
      <c r="A653" s="70" t="s">
        <v>281</v>
      </c>
      <c r="B653" s="66" t="s">
        <v>401</v>
      </c>
      <c r="C653" s="30" t="s">
        <v>380</v>
      </c>
      <c r="D653" s="30" t="s">
        <v>156</v>
      </c>
      <c r="E653" s="30" t="s">
        <v>61</v>
      </c>
      <c r="F653" s="30" t="s">
        <v>398</v>
      </c>
      <c r="G653" s="74">
        <f t="shared" si="51"/>
        <v>26665.035</v>
      </c>
      <c r="H653" s="95">
        <f>H654</f>
        <v>26665.035</v>
      </c>
      <c r="I653" s="95">
        <f>I654</f>
        <v>0</v>
      </c>
    </row>
    <row r="654" spans="1:9" ht="41.25">
      <c r="A654" s="14" t="s">
        <v>211</v>
      </c>
      <c r="B654" s="17" t="s">
        <v>401</v>
      </c>
      <c r="C654" s="30" t="s">
        <v>380</v>
      </c>
      <c r="D654" s="30" t="s">
        <v>156</v>
      </c>
      <c r="E654" s="30" t="s">
        <v>62</v>
      </c>
      <c r="F654" s="30" t="s">
        <v>212</v>
      </c>
      <c r="G654" s="74">
        <f t="shared" si="51"/>
        <v>26665.035</v>
      </c>
      <c r="H654" s="74">
        <f>H657+H658+H662+H661+H655+H665+H666+H656</f>
        <v>26665.035</v>
      </c>
      <c r="I654" s="74"/>
    </row>
    <row r="655" spans="1:9" ht="48.75" customHeight="1">
      <c r="A655" s="14" t="s">
        <v>916</v>
      </c>
      <c r="B655" s="17" t="s">
        <v>401</v>
      </c>
      <c r="C655" s="30" t="s">
        <v>380</v>
      </c>
      <c r="D655" s="30" t="s">
        <v>156</v>
      </c>
      <c r="E655" s="30" t="s">
        <v>768</v>
      </c>
      <c r="F655" s="30" t="s">
        <v>279</v>
      </c>
      <c r="G655" s="74">
        <f>H655+I655</f>
        <v>80</v>
      </c>
      <c r="H655" s="74">
        <v>80</v>
      </c>
      <c r="I655" s="74">
        <v>0</v>
      </c>
    </row>
    <row r="656" spans="1:9" ht="31.5" customHeight="1">
      <c r="A656" s="14" t="s">
        <v>780</v>
      </c>
      <c r="B656" s="17" t="s">
        <v>401</v>
      </c>
      <c r="C656" s="30" t="s">
        <v>380</v>
      </c>
      <c r="D656" s="30" t="s">
        <v>156</v>
      </c>
      <c r="E656" s="30" t="s">
        <v>781</v>
      </c>
      <c r="F656" s="30" t="s">
        <v>279</v>
      </c>
      <c r="G656" s="74">
        <f>H656</f>
        <v>80</v>
      </c>
      <c r="H656" s="74">
        <v>80</v>
      </c>
      <c r="I656" s="74"/>
    </row>
    <row r="657" spans="1:9" ht="33.75" customHeight="1">
      <c r="A657" s="14" t="s">
        <v>130</v>
      </c>
      <c r="B657" s="17" t="s">
        <v>401</v>
      </c>
      <c r="C657" s="30" t="s">
        <v>380</v>
      </c>
      <c r="D657" s="30" t="s">
        <v>156</v>
      </c>
      <c r="E657" s="30" t="s">
        <v>63</v>
      </c>
      <c r="F657" s="30" t="s">
        <v>279</v>
      </c>
      <c r="G657" s="74">
        <f t="shared" si="51"/>
        <v>9419.23014</v>
      </c>
      <c r="H657" s="74">
        <f>6939.203-405.024+20+78.527+405.024-344.2705+700+471.4+74.37064+230+1250</f>
        <v>9419.23014</v>
      </c>
      <c r="I657" s="74">
        <v>0</v>
      </c>
    </row>
    <row r="658" spans="1:9" ht="44.25" customHeight="1">
      <c r="A658" s="14" t="s">
        <v>934</v>
      </c>
      <c r="B658" s="17" t="s">
        <v>401</v>
      </c>
      <c r="C658" s="30" t="s">
        <v>380</v>
      </c>
      <c r="D658" s="30" t="s">
        <v>156</v>
      </c>
      <c r="E658" s="30" t="s">
        <v>938</v>
      </c>
      <c r="F658" s="30" t="s">
        <v>398</v>
      </c>
      <c r="G658" s="74">
        <f>H658+I658</f>
        <v>269.89986000000005</v>
      </c>
      <c r="H658" s="74">
        <f>H659</f>
        <v>269.89986000000005</v>
      </c>
      <c r="I658" s="74"/>
    </row>
    <row r="659" spans="1:9" ht="45" customHeight="1">
      <c r="A659" s="14" t="s">
        <v>211</v>
      </c>
      <c r="B659" s="17" t="s">
        <v>401</v>
      </c>
      <c r="C659" s="30" t="s">
        <v>380</v>
      </c>
      <c r="D659" s="30" t="s">
        <v>156</v>
      </c>
      <c r="E659" s="30" t="s">
        <v>938</v>
      </c>
      <c r="F659" s="30" t="s">
        <v>212</v>
      </c>
      <c r="G659" s="74">
        <f>H659+I659</f>
        <v>269.89986000000005</v>
      </c>
      <c r="H659" s="74">
        <f>H660</f>
        <v>269.89986000000005</v>
      </c>
      <c r="I659" s="74"/>
    </row>
    <row r="660" spans="1:9" ht="24" customHeight="1">
      <c r="A660" s="14" t="s">
        <v>213</v>
      </c>
      <c r="B660" s="17" t="s">
        <v>401</v>
      </c>
      <c r="C660" s="30" t="s">
        <v>380</v>
      </c>
      <c r="D660" s="30" t="s">
        <v>156</v>
      </c>
      <c r="E660" s="30" t="s">
        <v>938</v>
      </c>
      <c r="F660" s="30" t="s">
        <v>279</v>
      </c>
      <c r="G660" s="74">
        <f>H660+I660</f>
        <v>269.89986000000005</v>
      </c>
      <c r="H660" s="74">
        <f>405.024-405.024+344.2705-74.37064</f>
        <v>269.89986000000005</v>
      </c>
      <c r="I660" s="74"/>
    </row>
    <row r="661" spans="1:9" ht="31.5" customHeight="1">
      <c r="A661" s="14" t="s">
        <v>788</v>
      </c>
      <c r="B661" s="17" t="s">
        <v>401</v>
      </c>
      <c r="C661" s="30" t="s">
        <v>380</v>
      </c>
      <c r="D661" s="30" t="s">
        <v>156</v>
      </c>
      <c r="E661" s="30" t="s">
        <v>64</v>
      </c>
      <c r="F661" s="30" t="s">
        <v>279</v>
      </c>
      <c r="G661" s="74">
        <f t="shared" si="51"/>
        <v>15743.026119999999</v>
      </c>
      <c r="H661" s="74">
        <f>13957.675-410.087+222.8+410.087-470.8405+451.1+92.29162+840+650</f>
        <v>15743.026119999999</v>
      </c>
      <c r="I661" s="74">
        <v>0</v>
      </c>
    </row>
    <row r="662" spans="1:9" ht="56.25" customHeight="1">
      <c r="A662" s="14" t="s">
        <v>935</v>
      </c>
      <c r="B662" s="17" t="s">
        <v>401</v>
      </c>
      <c r="C662" s="30" t="s">
        <v>380</v>
      </c>
      <c r="D662" s="30" t="s">
        <v>156</v>
      </c>
      <c r="E662" s="30" t="s">
        <v>938</v>
      </c>
      <c r="F662" s="30" t="s">
        <v>398</v>
      </c>
      <c r="G662" s="74">
        <f>H662+I662</f>
        <v>378.54888000000005</v>
      </c>
      <c r="H662" s="74">
        <f>H663</f>
        <v>378.54888000000005</v>
      </c>
      <c r="I662" s="74"/>
    </row>
    <row r="663" spans="1:9" ht="45" customHeight="1">
      <c r="A663" s="14" t="s">
        <v>211</v>
      </c>
      <c r="B663" s="17" t="s">
        <v>401</v>
      </c>
      <c r="C663" s="30" t="s">
        <v>380</v>
      </c>
      <c r="D663" s="30" t="s">
        <v>156</v>
      </c>
      <c r="E663" s="30" t="s">
        <v>938</v>
      </c>
      <c r="F663" s="30" t="s">
        <v>212</v>
      </c>
      <c r="G663" s="74">
        <f>H663+I663</f>
        <v>378.54888000000005</v>
      </c>
      <c r="H663" s="74">
        <f>H664</f>
        <v>378.54888000000005</v>
      </c>
      <c r="I663" s="74"/>
    </row>
    <row r="664" spans="1:9" ht="24" customHeight="1">
      <c r="A664" s="14" t="s">
        <v>213</v>
      </c>
      <c r="B664" s="17" t="s">
        <v>401</v>
      </c>
      <c r="C664" s="30" t="s">
        <v>380</v>
      </c>
      <c r="D664" s="30" t="s">
        <v>156</v>
      </c>
      <c r="E664" s="30" t="s">
        <v>938</v>
      </c>
      <c r="F664" s="30" t="s">
        <v>279</v>
      </c>
      <c r="G664" s="74">
        <f>H664+I664</f>
        <v>378.54888000000005</v>
      </c>
      <c r="H664" s="74">
        <f>410.087-410.087+470.8405-92.29162</f>
        <v>378.54888000000005</v>
      </c>
      <c r="I664" s="74"/>
    </row>
    <row r="665" spans="1:9" ht="77.25" customHeight="1">
      <c r="A665" s="14" t="s">
        <v>803</v>
      </c>
      <c r="B665" s="17" t="s">
        <v>401</v>
      </c>
      <c r="C665" s="30" t="s">
        <v>380</v>
      </c>
      <c r="D665" s="30" t="s">
        <v>156</v>
      </c>
      <c r="E665" s="30" t="s">
        <v>789</v>
      </c>
      <c r="F665" s="30" t="s">
        <v>279</v>
      </c>
      <c r="G665" s="74">
        <f>H665</f>
        <v>694.33</v>
      </c>
      <c r="H665" s="74">
        <v>694.33</v>
      </c>
      <c r="I665" s="74"/>
    </row>
    <row r="666" spans="1:9" ht="31.5" customHeight="1" hidden="1">
      <c r="A666" s="68" t="s">
        <v>780</v>
      </c>
      <c r="B666" s="75" t="s">
        <v>401</v>
      </c>
      <c r="C666" s="69" t="s">
        <v>380</v>
      </c>
      <c r="D666" s="69" t="s">
        <v>156</v>
      </c>
      <c r="E666" s="69" t="s">
        <v>781</v>
      </c>
      <c r="F666" s="69" t="s">
        <v>398</v>
      </c>
      <c r="G666" s="82">
        <f aca="true" t="shared" si="52" ref="G666:G671">H666+I666</f>
        <v>0</v>
      </c>
      <c r="H666" s="82">
        <f>H667</f>
        <v>0</v>
      </c>
      <c r="I666" s="82"/>
    </row>
    <row r="667" spans="1:9" ht="45" customHeight="1" hidden="1">
      <c r="A667" s="65" t="s">
        <v>211</v>
      </c>
      <c r="B667" s="17" t="s">
        <v>401</v>
      </c>
      <c r="C667" s="20" t="s">
        <v>380</v>
      </c>
      <c r="D667" s="20" t="s">
        <v>156</v>
      </c>
      <c r="E667" s="20" t="s">
        <v>781</v>
      </c>
      <c r="F667" s="20" t="s">
        <v>212</v>
      </c>
      <c r="G667" s="74">
        <f t="shared" si="52"/>
        <v>0</v>
      </c>
      <c r="H667" s="74">
        <f>H668</f>
        <v>0</v>
      </c>
      <c r="I667" s="74"/>
    </row>
    <row r="668" spans="1:9" ht="21" customHeight="1" hidden="1">
      <c r="A668" s="65" t="s">
        <v>213</v>
      </c>
      <c r="B668" s="17" t="s">
        <v>401</v>
      </c>
      <c r="C668" s="20" t="s">
        <v>380</v>
      </c>
      <c r="D668" s="20" t="s">
        <v>156</v>
      </c>
      <c r="E668" s="20" t="s">
        <v>781</v>
      </c>
      <c r="F668" s="20" t="s">
        <v>279</v>
      </c>
      <c r="G668" s="74">
        <f t="shared" si="52"/>
        <v>0</v>
      </c>
      <c r="H668" s="74">
        <v>0</v>
      </c>
      <c r="I668" s="74"/>
    </row>
    <row r="669" spans="1:9" ht="42" customHeight="1">
      <c r="A669" s="45" t="s">
        <v>455</v>
      </c>
      <c r="B669" s="63" t="s">
        <v>401</v>
      </c>
      <c r="C669" s="49" t="s">
        <v>380</v>
      </c>
      <c r="D669" s="49" t="s">
        <v>156</v>
      </c>
      <c r="E669" s="49" t="s">
        <v>819</v>
      </c>
      <c r="F669" s="49" t="s">
        <v>398</v>
      </c>
      <c r="G669" s="83">
        <f t="shared" si="52"/>
        <v>158.7</v>
      </c>
      <c r="H669" s="83">
        <f>H670</f>
        <v>158.7</v>
      </c>
      <c r="I669" s="83">
        <f>I670</f>
        <v>0</v>
      </c>
    </row>
    <row r="670" spans="1:9" ht="45.75" customHeight="1">
      <c r="A670" s="65" t="s">
        <v>211</v>
      </c>
      <c r="B670" s="17" t="s">
        <v>401</v>
      </c>
      <c r="C670" s="30" t="s">
        <v>380</v>
      </c>
      <c r="D670" s="30" t="s">
        <v>156</v>
      </c>
      <c r="E670" s="30" t="s">
        <v>819</v>
      </c>
      <c r="F670" s="20" t="s">
        <v>212</v>
      </c>
      <c r="G670" s="74">
        <f t="shared" si="52"/>
        <v>158.7</v>
      </c>
      <c r="H670" s="74">
        <f>H671</f>
        <v>158.7</v>
      </c>
      <c r="I670" s="74">
        <f>I671</f>
        <v>0</v>
      </c>
    </row>
    <row r="671" spans="1:9" ht="21.75" customHeight="1">
      <c r="A671" s="14" t="s">
        <v>213</v>
      </c>
      <c r="B671" s="17" t="s">
        <v>401</v>
      </c>
      <c r="C671" s="30" t="s">
        <v>380</v>
      </c>
      <c r="D671" s="30" t="s">
        <v>156</v>
      </c>
      <c r="E671" s="30" t="s">
        <v>819</v>
      </c>
      <c r="F671" s="20" t="s">
        <v>279</v>
      </c>
      <c r="G671" s="74">
        <f t="shared" si="52"/>
        <v>158.7</v>
      </c>
      <c r="H671" s="74">
        <f>98.5+60.2</f>
        <v>158.7</v>
      </c>
      <c r="I671" s="74">
        <v>0</v>
      </c>
    </row>
    <row r="672" spans="1:9" ht="42" customHeight="1">
      <c r="A672" s="45" t="s">
        <v>453</v>
      </c>
      <c r="B672" s="63" t="s">
        <v>401</v>
      </c>
      <c r="C672" s="49" t="s">
        <v>380</v>
      </c>
      <c r="D672" s="49" t="s">
        <v>377</v>
      </c>
      <c r="E672" s="49" t="s">
        <v>35</v>
      </c>
      <c r="F672" s="49" t="s">
        <v>398</v>
      </c>
      <c r="G672" s="83">
        <f aca="true" t="shared" si="53" ref="G672:G677">H672+I672</f>
        <v>70</v>
      </c>
      <c r="H672" s="83">
        <f aca="true" t="shared" si="54" ref="H672:I675">H673</f>
        <v>70</v>
      </c>
      <c r="I672" s="83">
        <f t="shared" si="54"/>
        <v>0</v>
      </c>
    </row>
    <row r="673" spans="1:9" ht="33.75" customHeight="1">
      <c r="A673" s="70" t="s">
        <v>282</v>
      </c>
      <c r="B673" s="66" t="s">
        <v>401</v>
      </c>
      <c r="C673" s="30" t="s">
        <v>380</v>
      </c>
      <c r="D673" s="30" t="s">
        <v>377</v>
      </c>
      <c r="E673" s="30" t="s">
        <v>68</v>
      </c>
      <c r="F673" s="30" t="s">
        <v>398</v>
      </c>
      <c r="G673" s="74">
        <f t="shared" si="53"/>
        <v>70</v>
      </c>
      <c r="H673" s="95">
        <f t="shared" si="54"/>
        <v>70</v>
      </c>
      <c r="I673" s="95">
        <f t="shared" si="54"/>
        <v>0</v>
      </c>
    </row>
    <row r="674" spans="1:9" ht="29.25" customHeight="1">
      <c r="A674" s="14" t="s">
        <v>248</v>
      </c>
      <c r="B674" s="66" t="s">
        <v>401</v>
      </c>
      <c r="C674" s="30" t="s">
        <v>380</v>
      </c>
      <c r="D674" s="30" t="s">
        <v>377</v>
      </c>
      <c r="E674" s="30" t="s">
        <v>69</v>
      </c>
      <c r="F674" s="30" t="s">
        <v>398</v>
      </c>
      <c r="G674" s="74">
        <f t="shared" si="53"/>
        <v>70</v>
      </c>
      <c r="H674" s="95">
        <f t="shared" si="54"/>
        <v>70</v>
      </c>
      <c r="I674" s="95">
        <f t="shared" si="54"/>
        <v>0</v>
      </c>
    </row>
    <row r="675" spans="1:9" ht="41.25">
      <c r="A675" s="14" t="s">
        <v>211</v>
      </c>
      <c r="B675" s="66" t="s">
        <v>401</v>
      </c>
      <c r="C675" s="30" t="s">
        <v>380</v>
      </c>
      <c r="D675" s="30" t="s">
        <v>377</v>
      </c>
      <c r="E675" s="30" t="s">
        <v>69</v>
      </c>
      <c r="F675" s="30" t="s">
        <v>212</v>
      </c>
      <c r="G675" s="74">
        <f t="shared" si="53"/>
        <v>70</v>
      </c>
      <c r="H675" s="74">
        <f t="shared" si="54"/>
        <v>70</v>
      </c>
      <c r="I675" s="74">
        <f t="shared" si="54"/>
        <v>0</v>
      </c>
    </row>
    <row r="676" spans="1:9" ht="13.5">
      <c r="A676" s="14" t="s">
        <v>213</v>
      </c>
      <c r="B676" s="66" t="s">
        <v>401</v>
      </c>
      <c r="C676" s="30" t="s">
        <v>380</v>
      </c>
      <c r="D676" s="30" t="s">
        <v>377</v>
      </c>
      <c r="E676" s="30" t="s">
        <v>69</v>
      </c>
      <c r="F676" s="30" t="s">
        <v>279</v>
      </c>
      <c r="G676" s="74">
        <f t="shared" si="53"/>
        <v>70</v>
      </c>
      <c r="H676" s="95">
        <f>30+20+20</f>
        <v>70</v>
      </c>
      <c r="I676" s="95"/>
    </row>
    <row r="677" spans="1:9" ht="41.25">
      <c r="A677" s="45" t="s">
        <v>452</v>
      </c>
      <c r="B677" s="63" t="s">
        <v>401</v>
      </c>
      <c r="C677" s="49" t="s">
        <v>380</v>
      </c>
      <c r="D677" s="49" t="s">
        <v>380</v>
      </c>
      <c r="E677" s="49" t="s">
        <v>35</v>
      </c>
      <c r="F677" s="49" t="s">
        <v>398</v>
      </c>
      <c r="G677" s="83">
        <f t="shared" si="53"/>
        <v>1614.1213</v>
      </c>
      <c r="H677" s="83">
        <f>H678+H686</f>
        <v>0</v>
      </c>
      <c r="I677" s="83">
        <f>I678+I686</f>
        <v>1614.1213</v>
      </c>
    </row>
    <row r="678" spans="1:9" ht="33.75" customHeight="1" hidden="1">
      <c r="A678" s="70" t="s">
        <v>281</v>
      </c>
      <c r="B678" s="17" t="s">
        <v>401</v>
      </c>
      <c r="C678" s="30" t="s">
        <v>380</v>
      </c>
      <c r="D678" s="30" t="s">
        <v>380</v>
      </c>
      <c r="E678" s="30" t="s">
        <v>61</v>
      </c>
      <c r="F678" s="30" t="s">
        <v>398</v>
      </c>
      <c r="G678" s="74">
        <f aca="true" t="shared" si="55" ref="G678:G685">H678+I678</f>
        <v>0</v>
      </c>
      <c r="H678" s="74">
        <f>H679</f>
        <v>0</v>
      </c>
      <c r="I678" s="74">
        <f>I679</f>
        <v>0</v>
      </c>
    </row>
    <row r="679" spans="1:9" ht="41.25" hidden="1">
      <c r="A679" s="45" t="s">
        <v>632</v>
      </c>
      <c r="B679" s="63" t="s">
        <v>401</v>
      </c>
      <c r="C679" s="49" t="s">
        <v>380</v>
      </c>
      <c r="D679" s="49" t="s">
        <v>380</v>
      </c>
      <c r="E679" s="49" t="s">
        <v>311</v>
      </c>
      <c r="F679" s="49" t="s">
        <v>398</v>
      </c>
      <c r="G679" s="83">
        <f t="shared" si="55"/>
        <v>0</v>
      </c>
      <c r="H679" s="83">
        <f>H683</f>
        <v>0</v>
      </c>
      <c r="I679" s="83">
        <f>I680</f>
        <v>0</v>
      </c>
    </row>
    <row r="680" spans="1:9" ht="69" hidden="1">
      <c r="A680" s="14" t="s">
        <v>644</v>
      </c>
      <c r="B680" s="17" t="s">
        <v>401</v>
      </c>
      <c r="C680" s="30" t="s">
        <v>380</v>
      </c>
      <c r="D680" s="30" t="s">
        <v>380</v>
      </c>
      <c r="E680" s="30" t="s">
        <v>651</v>
      </c>
      <c r="F680" s="30" t="s">
        <v>398</v>
      </c>
      <c r="G680" s="74">
        <f t="shared" si="55"/>
        <v>0</v>
      </c>
      <c r="H680" s="74"/>
      <c r="I680" s="74">
        <f>I681</f>
        <v>0</v>
      </c>
    </row>
    <row r="681" spans="1:9" ht="41.25" hidden="1">
      <c r="A681" s="14" t="s">
        <v>211</v>
      </c>
      <c r="B681" s="17" t="s">
        <v>401</v>
      </c>
      <c r="C681" s="30" t="s">
        <v>380</v>
      </c>
      <c r="D681" s="30" t="s">
        <v>380</v>
      </c>
      <c r="E681" s="30" t="s">
        <v>651</v>
      </c>
      <c r="F681" s="30" t="s">
        <v>212</v>
      </c>
      <c r="G681" s="74">
        <f t="shared" si="55"/>
        <v>0</v>
      </c>
      <c r="H681" s="74"/>
      <c r="I681" s="74">
        <f>I682</f>
        <v>0</v>
      </c>
    </row>
    <row r="682" spans="1:9" ht="13.5" hidden="1">
      <c r="A682" s="14" t="s">
        <v>213</v>
      </c>
      <c r="B682" s="17" t="s">
        <v>401</v>
      </c>
      <c r="C682" s="30" t="s">
        <v>380</v>
      </c>
      <c r="D682" s="30" t="s">
        <v>380</v>
      </c>
      <c r="E682" s="30" t="s">
        <v>651</v>
      </c>
      <c r="F682" s="30" t="s">
        <v>279</v>
      </c>
      <c r="G682" s="74">
        <f t="shared" si="55"/>
        <v>0</v>
      </c>
      <c r="H682" s="74"/>
      <c r="I682" s="74">
        <v>0</v>
      </c>
    </row>
    <row r="683" spans="1:9" ht="82.5" hidden="1">
      <c r="A683" s="14" t="s">
        <v>645</v>
      </c>
      <c r="B683" s="17" t="s">
        <v>401</v>
      </c>
      <c r="C683" s="30" t="s">
        <v>380</v>
      </c>
      <c r="D683" s="30" t="s">
        <v>380</v>
      </c>
      <c r="E683" s="30" t="s">
        <v>693</v>
      </c>
      <c r="F683" s="30" t="s">
        <v>398</v>
      </c>
      <c r="G683" s="74">
        <f t="shared" si="55"/>
        <v>0</v>
      </c>
      <c r="H683" s="74">
        <f>H684</f>
        <v>0</v>
      </c>
      <c r="I683" s="74"/>
    </row>
    <row r="684" spans="1:9" ht="41.25" hidden="1">
      <c r="A684" s="14" t="s">
        <v>211</v>
      </c>
      <c r="B684" s="17" t="s">
        <v>401</v>
      </c>
      <c r="C684" s="30" t="s">
        <v>380</v>
      </c>
      <c r="D684" s="30" t="s">
        <v>380</v>
      </c>
      <c r="E684" s="30" t="s">
        <v>693</v>
      </c>
      <c r="F684" s="30" t="s">
        <v>212</v>
      </c>
      <c r="G684" s="74">
        <f t="shared" si="55"/>
        <v>0</v>
      </c>
      <c r="H684" s="74">
        <f>H685</f>
        <v>0</v>
      </c>
      <c r="I684" s="74"/>
    </row>
    <row r="685" spans="1:9" ht="13.5" hidden="1">
      <c r="A685" s="14" t="s">
        <v>213</v>
      </c>
      <c r="B685" s="17" t="s">
        <v>401</v>
      </c>
      <c r="C685" s="30" t="s">
        <v>380</v>
      </c>
      <c r="D685" s="30" t="s">
        <v>380</v>
      </c>
      <c r="E685" s="30" t="s">
        <v>693</v>
      </c>
      <c r="F685" s="30" t="s">
        <v>279</v>
      </c>
      <c r="G685" s="74">
        <f t="shared" si="55"/>
        <v>0</v>
      </c>
      <c r="H685" s="74">
        <v>0</v>
      </c>
      <c r="I685" s="74"/>
    </row>
    <row r="686" spans="1:9" ht="33" customHeight="1">
      <c r="A686" s="70" t="s">
        <v>444</v>
      </c>
      <c r="B686" s="17" t="s">
        <v>401</v>
      </c>
      <c r="C686" s="30" t="s">
        <v>380</v>
      </c>
      <c r="D686" s="30" t="s">
        <v>380</v>
      </c>
      <c r="E686" s="30" t="s">
        <v>70</v>
      </c>
      <c r="F686" s="30" t="s">
        <v>398</v>
      </c>
      <c r="G686" s="74">
        <f aca="true" t="shared" si="56" ref="G686:G691">H686+I686</f>
        <v>1614.1213</v>
      </c>
      <c r="H686" s="74">
        <f>H687+H692</f>
        <v>0</v>
      </c>
      <c r="I686" s="74">
        <f>I687</f>
        <v>1614.1213</v>
      </c>
    </row>
    <row r="687" spans="1:9" ht="57" customHeight="1">
      <c r="A687" s="68" t="s">
        <v>690</v>
      </c>
      <c r="B687" s="150" t="s">
        <v>401</v>
      </c>
      <c r="C687" s="69" t="s">
        <v>380</v>
      </c>
      <c r="D687" s="69" t="s">
        <v>380</v>
      </c>
      <c r="E687" s="69" t="s">
        <v>70</v>
      </c>
      <c r="F687" s="69" t="s">
        <v>398</v>
      </c>
      <c r="G687" s="82">
        <f t="shared" si="56"/>
        <v>1614.1213</v>
      </c>
      <c r="H687" s="107">
        <f>H688+H690</f>
        <v>0</v>
      </c>
      <c r="I687" s="107">
        <f>I688+I690</f>
        <v>1614.1213</v>
      </c>
    </row>
    <row r="688" spans="1:9" ht="41.25">
      <c r="A688" s="37" t="s">
        <v>211</v>
      </c>
      <c r="B688" s="66" t="s">
        <v>401</v>
      </c>
      <c r="C688" s="30" t="s">
        <v>380</v>
      </c>
      <c r="D688" s="30" t="s">
        <v>380</v>
      </c>
      <c r="E688" s="30" t="s">
        <v>71</v>
      </c>
      <c r="F688" s="30" t="s">
        <v>212</v>
      </c>
      <c r="G688" s="74">
        <f t="shared" si="56"/>
        <v>1614.1213</v>
      </c>
      <c r="H688" s="95"/>
      <c r="I688" s="95">
        <f>I689</f>
        <v>1614.1213</v>
      </c>
    </row>
    <row r="689" spans="1:11" ht="13.5">
      <c r="A689" s="37" t="s">
        <v>213</v>
      </c>
      <c r="B689" s="66" t="s">
        <v>401</v>
      </c>
      <c r="C689" s="30" t="s">
        <v>380</v>
      </c>
      <c r="D689" s="30" t="s">
        <v>380</v>
      </c>
      <c r="E689" s="30" t="s">
        <v>71</v>
      </c>
      <c r="F689" s="30" t="s">
        <v>279</v>
      </c>
      <c r="G689" s="74">
        <f t="shared" si="56"/>
        <v>1614.1213</v>
      </c>
      <c r="H689" s="95"/>
      <c r="I689" s="95">
        <f>1914.1213-300</f>
        <v>1614.1213</v>
      </c>
      <c r="K689" s="73"/>
    </row>
    <row r="690" spans="1:9" ht="41.25" hidden="1">
      <c r="A690" s="37" t="s">
        <v>211</v>
      </c>
      <c r="B690" s="66" t="s">
        <v>401</v>
      </c>
      <c r="C690" s="30" t="s">
        <v>380</v>
      </c>
      <c r="D690" s="30" t="s">
        <v>380</v>
      </c>
      <c r="E690" s="30" t="s">
        <v>71</v>
      </c>
      <c r="F690" s="30" t="s">
        <v>212</v>
      </c>
      <c r="G690" s="74">
        <f t="shared" si="56"/>
        <v>0</v>
      </c>
      <c r="H690" s="95"/>
      <c r="I690" s="95">
        <f>I691</f>
        <v>0</v>
      </c>
    </row>
    <row r="691" spans="1:9" ht="13.5" hidden="1">
      <c r="A691" s="37" t="s">
        <v>213</v>
      </c>
      <c r="B691" s="66" t="s">
        <v>401</v>
      </c>
      <c r="C691" s="30" t="s">
        <v>380</v>
      </c>
      <c r="D691" s="30" t="s">
        <v>380</v>
      </c>
      <c r="E691" s="30" t="s">
        <v>71</v>
      </c>
      <c r="F691" s="30" t="s">
        <v>279</v>
      </c>
      <c r="G691" s="74">
        <f t="shared" si="56"/>
        <v>0</v>
      </c>
      <c r="H691" s="95"/>
      <c r="I691" s="95"/>
    </row>
    <row r="692" spans="1:9" ht="54.75" hidden="1">
      <c r="A692" s="14" t="s">
        <v>787</v>
      </c>
      <c r="B692" s="17" t="s">
        <v>401</v>
      </c>
      <c r="C692" s="30" t="s">
        <v>380</v>
      </c>
      <c r="D692" s="30" t="s">
        <v>380</v>
      </c>
      <c r="E692" s="30" t="s">
        <v>786</v>
      </c>
      <c r="F692" s="30" t="s">
        <v>398</v>
      </c>
      <c r="G692" s="74">
        <f>H692</f>
        <v>0</v>
      </c>
      <c r="H692" s="74">
        <f>H693</f>
        <v>0</v>
      </c>
      <c r="I692" s="74"/>
    </row>
    <row r="693" spans="1:9" ht="41.25" hidden="1">
      <c r="A693" s="37" t="s">
        <v>211</v>
      </c>
      <c r="B693" s="17" t="s">
        <v>401</v>
      </c>
      <c r="C693" s="30" t="s">
        <v>380</v>
      </c>
      <c r="D693" s="30" t="s">
        <v>380</v>
      </c>
      <c r="E693" s="30" t="s">
        <v>786</v>
      </c>
      <c r="F693" s="30" t="s">
        <v>212</v>
      </c>
      <c r="G693" s="74">
        <f>H693</f>
        <v>0</v>
      </c>
      <c r="H693" s="74">
        <f>H694</f>
        <v>0</v>
      </c>
      <c r="I693" s="74"/>
    </row>
    <row r="694" spans="1:9" ht="13.5" hidden="1">
      <c r="A694" s="37" t="s">
        <v>213</v>
      </c>
      <c r="B694" s="17" t="s">
        <v>401</v>
      </c>
      <c r="C694" s="30" t="s">
        <v>380</v>
      </c>
      <c r="D694" s="30" t="s">
        <v>380</v>
      </c>
      <c r="E694" s="30" t="s">
        <v>786</v>
      </c>
      <c r="F694" s="30" t="s">
        <v>279</v>
      </c>
      <c r="G694" s="74">
        <f>H694</f>
        <v>0</v>
      </c>
      <c r="H694" s="74">
        <v>0</v>
      </c>
      <c r="I694" s="74"/>
    </row>
    <row r="695" spans="1:9" ht="18" customHeight="1">
      <c r="A695" s="68" t="s">
        <v>357</v>
      </c>
      <c r="B695" s="150" t="s">
        <v>401</v>
      </c>
      <c r="C695" s="69" t="s">
        <v>380</v>
      </c>
      <c r="D695" s="69" t="s">
        <v>365</v>
      </c>
      <c r="E695" s="69" t="s">
        <v>311</v>
      </c>
      <c r="F695" s="69" t="s">
        <v>398</v>
      </c>
      <c r="G695" s="82">
        <f aca="true" t="shared" si="57" ref="G695:G703">H695+I695</f>
        <v>49734.22226000001</v>
      </c>
      <c r="H695" s="107">
        <f>H696+H711+H717+H721+H726+H731</f>
        <v>49734.22226000001</v>
      </c>
      <c r="I695" s="107">
        <f>I696</f>
        <v>0</v>
      </c>
    </row>
    <row r="696" spans="1:9" ht="41.25">
      <c r="A696" s="45" t="s">
        <v>452</v>
      </c>
      <c r="B696" s="148" t="s">
        <v>401</v>
      </c>
      <c r="C696" s="49" t="s">
        <v>380</v>
      </c>
      <c r="D696" s="49" t="s">
        <v>365</v>
      </c>
      <c r="E696" s="49" t="s">
        <v>35</v>
      </c>
      <c r="F696" s="49" t="s">
        <v>398</v>
      </c>
      <c r="G696" s="83">
        <f t="shared" si="57"/>
        <v>47444.054260000004</v>
      </c>
      <c r="H696" s="106">
        <f>H697</f>
        <v>47444.054260000004</v>
      </c>
      <c r="I696" s="106"/>
    </row>
    <row r="697" spans="1:10" ht="31.5" customHeight="1">
      <c r="A697" s="70" t="s">
        <v>254</v>
      </c>
      <c r="B697" s="66" t="s">
        <v>401</v>
      </c>
      <c r="C697" s="30" t="s">
        <v>380</v>
      </c>
      <c r="D697" s="30" t="s">
        <v>365</v>
      </c>
      <c r="E697" s="30" t="s">
        <v>73</v>
      </c>
      <c r="F697" s="30" t="s">
        <v>398</v>
      </c>
      <c r="G697" s="74">
        <f t="shared" si="57"/>
        <v>47444.054260000004</v>
      </c>
      <c r="H697" s="95">
        <f>H698+H706</f>
        <v>47444.054260000004</v>
      </c>
      <c r="I697" s="95"/>
      <c r="J697" s="42"/>
    </row>
    <row r="698" spans="1:11" ht="54.75" customHeight="1">
      <c r="A698" s="14" t="s">
        <v>249</v>
      </c>
      <c r="B698" s="66" t="s">
        <v>401</v>
      </c>
      <c r="C698" s="30" t="s">
        <v>380</v>
      </c>
      <c r="D698" s="30" t="s">
        <v>365</v>
      </c>
      <c r="E698" s="30" t="s">
        <v>73</v>
      </c>
      <c r="F698" s="30" t="s">
        <v>398</v>
      </c>
      <c r="G698" s="74">
        <f t="shared" si="57"/>
        <v>45490.61417</v>
      </c>
      <c r="H698" s="95">
        <f>H699+H701+H703</f>
        <v>45490.61417</v>
      </c>
      <c r="I698" s="95">
        <f>I699+I701+I703</f>
        <v>0</v>
      </c>
      <c r="J698" s="74"/>
      <c r="K698" s="73"/>
    </row>
    <row r="699" spans="1:9" ht="72" customHeight="1">
      <c r="A699" s="14" t="s">
        <v>185</v>
      </c>
      <c r="B699" s="66" t="s">
        <v>401</v>
      </c>
      <c r="C699" s="30" t="s">
        <v>380</v>
      </c>
      <c r="D699" s="30" t="s">
        <v>365</v>
      </c>
      <c r="E699" s="30" t="s">
        <v>73</v>
      </c>
      <c r="F699" s="30" t="s">
        <v>154</v>
      </c>
      <c r="G699" s="74">
        <f t="shared" si="57"/>
        <v>38384.65758</v>
      </c>
      <c r="H699" s="95">
        <f>H700</f>
        <v>38384.65758</v>
      </c>
      <c r="I699" s="95">
        <f>I700</f>
        <v>0</v>
      </c>
    </row>
    <row r="700" spans="1:10" ht="27">
      <c r="A700" s="14" t="s">
        <v>201</v>
      </c>
      <c r="B700" s="66" t="s">
        <v>401</v>
      </c>
      <c r="C700" s="30" t="s">
        <v>380</v>
      </c>
      <c r="D700" s="30" t="s">
        <v>365</v>
      </c>
      <c r="E700" s="30" t="s">
        <v>73</v>
      </c>
      <c r="F700" s="30" t="s">
        <v>161</v>
      </c>
      <c r="G700" s="74">
        <f t="shared" si="57"/>
        <v>38384.65758</v>
      </c>
      <c r="H700" s="74">
        <f>37435.178+500+150+289.47958+10</f>
        <v>38384.65758</v>
      </c>
      <c r="I700" s="95"/>
      <c r="J700" s="73"/>
    </row>
    <row r="701" spans="1:11" ht="27">
      <c r="A701" s="14" t="s">
        <v>188</v>
      </c>
      <c r="B701" s="66" t="s">
        <v>401</v>
      </c>
      <c r="C701" s="30" t="s">
        <v>380</v>
      </c>
      <c r="D701" s="30" t="s">
        <v>365</v>
      </c>
      <c r="E701" s="30" t="s">
        <v>73</v>
      </c>
      <c r="F701" s="30" t="s">
        <v>158</v>
      </c>
      <c r="G701" s="74">
        <f t="shared" si="57"/>
        <v>7089.28475</v>
      </c>
      <c r="H701" s="74">
        <f>H702</f>
        <v>7089.28475</v>
      </c>
      <c r="I701" s="95">
        <f>I702</f>
        <v>0</v>
      </c>
      <c r="J701" s="73"/>
      <c r="K701" s="73"/>
    </row>
    <row r="702" spans="1:10" ht="41.25">
      <c r="A702" s="37" t="s">
        <v>189</v>
      </c>
      <c r="B702" s="17" t="s">
        <v>401</v>
      </c>
      <c r="C702" s="30" t="s">
        <v>380</v>
      </c>
      <c r="D702" s="30" t="s">
        <v>365</v>
      </c>
      <c r="E702" s="30" t="s">
        <v>73</v>
      </c>
      <c r="F702" s="30" t="s">
        <v>190</v>
      </c>
      <c r="G702" s="74">
        <f t="shared" si="57"/>
        <v>7089.28475</v>
      </c>
      <c r="H702" s="74">
        <f>7363.647-300-95.044-312.224+663.39-230.48425-17.8+17.8</f>
        <v>7089.28475</v>
      </c>
      <c r="I702" s="95"/>
      <c r="J702" s="73"/>
    </row>
    <row r="703" spans="1:9" ht="13.5">
      <c r="A703" s="14" t="s">
        <v>193</v>
      </c>
      <c r="B703" s="17" t="s">
        <v>401</v>
      </c>
      <c r="C703" s="30" t="s">
        <v>380</v>
      </c>
      <c r="D703" s="30" t="s">
        <v>365</v>
      </c>
      <c r="E703" s="30" t="s">
        <v>73</v>
      </c>
      <c r="F703" s="30" t="s">
        <v>194</v>
      </c>
      <c r="G703" s="74">
        <f t="shared" si="57"/>
        <v>16.67184</v>
      </c>
      <c r="H703" s="74">
        <f>H704+H705</f>
        <v>16.67184</v>
      </c>
      <c r="I703" s="95">
        <f>I705</f>
        <v>0</v>
      </c>
    </row>
    <row r="704" spans="1:9" ht="13.5" hidden="1">
      <c r="A704" s="14" t="s">
        <v>197</v>
      </c>
      <c r="B704" s="17" t="s">
        <v>401</v>
      </c>
      <c r="C704" s="30" t="s">
        <v>380</v>
      </c>
      <c r="D704" s="30" t="s">
        <v>365</v>
      </c>
      <c r="E704" s="30" t="s">
        <v>73</v>
      </c>
      <c r="F704" s="30" t="s">
        <v>198</v>
      </c>
      <c r="G704" s="74">
        <f>H704</f>
        <v>0</v>
      </c>
      <c r="H704" s="74"/>
      <c r="I704" s="95"/>
    </row>
    <row r="705" spans="1:9" ht="13.5">
      <c r="A705" s="14" t="s">
        <v>191</v>
      </c>
      <c r="B705" s="17" t="s">
        <v>401</v>
      </c>
      <c r="C705" s="30" t="s">
        <v>380</v>
      </c>
      <c r="D705" s="30" t="s">
        <v>365</v>
      </c>
      <c r="E705" s="30" t="s">
        <v>73</v>
      </c>
      <c r="F705" s="30" t="s">
        <v>192</v>
      </c>
      <c r="G705" s="74">
        <f>H705+I705</f>
        <v>16.67184</v>
      </c>
      <c r="H705" s="74">
        <f>24.6-15.72816+7.8</f>
        <v>16.67184</v>
      </c>
      <c r="I705" s="95"/>
    </row>
    <row r="706" spans="1:9" ht="63" customHeight="1">
      <c r="A706" s="70" t="s">
        <v>516</v>
      </c>
      <c r="B706" s="17" t="s">
        <v>401</v>
      </c>
      <c r="C706" s="30" t="s">
        <v>380</v>
      </c>
      <c r="D706" s="30" t="s">
        <v>365</v>
      </c>
      <c r="E706" s="30" t="s">
        <v>73</v>
      </c>
      <c r="F706" s="30" t="s">
        <v>398</v>
      </c>
      <c r="G706" s="74">
        <f>H706</f>
        <v>1953.44009</v>
      </c>
      <c r="H706" s="74">
        <f>H707+H709</f>
        <v>1953.44009</v>
      </c>
      <c r="I706" s="74"/>
    </row>
    <row r="707" spans="1:9" ht="73.5" customHeight="1">
      <c r="A707" s="14" t="s">
        <v>185</v>
      </c>
      <c r="B707" s="17" t="s">
        <v>401</v>
      </c>
      <c r="C707" s="30" t="s">
        <v>380</v>
      </c>
      <c r="D707" s="30" t="s">
        <v>365</v>
      </c>
      <c r="E707" s="30" t="s">
        <v>73</v>
      </c>
      <c r="F707" s="30" t="s">
        <v>154</v>
      </c>
      <c r="G707" s="74">
        <f>H707</f>
        <v>1953.44009</v>
      </c>
      <c r="H707" s="74">
        <f>H708</f>
        <v>1953.44009</v>
      </c>
      <c r="I707" s="74"/>
    </row>
    <row r="708" spans="1:11" ht="29.25" customHeight="1">
      <c r="A708" s="14" t="s">
        <v>201</v>
      </c>
      <c r="B708" s="17" t="s">
        <v>401</v>
      </c>
      <c r="C708" s="30" t="s">
        <v>380</v>
      </c>
      <c r="D708" s="30" t="s">
        <v>365</v>
      </c>
      <c r="E708" s="30" t="s">
        <v>73</v>
      </c>
      <c r="F708" s="30" t="s">
        <v>161</v>
      </c>
      <c r="G708" s="74">
        <f>H708</f>
        <v>1953.44009</v>
      </c>
      <c r="H708" s="74">
        <f>975.2+766.189+277.646+83.851-114.03218-35.41373</f>
        <v>1953.44009</v>
      </c>
      <c r="I708" s="74"/>
      <c r="J708" s="155"/>
      <c r="K708" s="73"/>
    </row>
    <row r="709" spans="1:9" ht="27" hidden="1">
      <c r="A709" s="14" t="s">
        <v>188</v>
      </c>
      <c r="B709" s="17" t="s">
        <v>401</v>
      </c>
      <c r="C709" s="30" t="s">
        <v>380</v>
      </c>
      <c r="D709" s="30" t="s">
        <v>365</v>
      </c>
      <c r="E709" s="30" t="s">
        <v>73</v>
      </c>
      <c r="F709" s="30" t="s">
        <v>158</v>
      </c>
      <c r="G709" s="74">
        <f>H709</f>
        <v>0</v>
      </c>
      <c r="H709" s="74">
        <f>H710</f>
        <v>0</v>
      </c>
      <c r="I709" s="74"/>
    </row>
    <row r="710" spans="1:9" ht="41.25" hidden="1">
      <c r="A710" s="37" t="s">
        <v>189</v>
      </c>
      <c r="B710" s="17" t="s">
        <v>401</v>
      </c>
      <c r="C710" s="30" t="s">
        <v>380</v>
      </c>
      <c r="D710" s="30" t="s">
        <v>365</v>
      </c>
      <c r="E710" s="30" t="s">
        <v>73</v>
      </c>
      <c r="F710" s="30" t="s">
        <v>190</v>
      </c>
      <c r="G710" s="74">
        <f>H710</f>
        <v>0</v>
      </c>
      <c r="H710" s="74">
        <f>30-30</f>
        <v>0</v>
      </c>
      <c r="I710" s="74"/>
    </row>
    <row r="711" spans="1:9" ht="54.75">
      <c r="A711" s="45" t="s">
        <v>454</v>
      </c>
      <c r="B711" s="148" t="s">
        <v>401</v>
      </c>
      <c r="C711" s="49" t="s">
        <v>380</v>
      </c>
      <c r="D711" s="49" t="s">
        <v>365</v>
      </c>
      <c r="E711" s="49" t="s">
        <v>75</v>
      </c>
      <c r="F711" s="49" t="s">
        <v>398</v>
      </c>
      <c r="G711" s="83">
        <f aca="true" t="shared" si="58" ref="G711:G723">H711+I711</f>
        <v>887.05</v>
      </c>
      <c r="H711" s="83">
        <f>H712+H715</f>
        <v>887.05</v>
      </c>
      <c r="I711" s="106">
        <f>I712+I715</f>
        <v>0</v>
      </c>
    </row>
    <row r="712" spans="1:9" ht="13.5">
      <c r="A712" s="14" t="s">
        <v>390</v>
      </c>
      <c r="B712" s="66" t="s">
        <v>401</v>
      </c>
      <c r="C712" s="30" t="s">
        <v>380</v>
      </c>
      <c r="D712" s="30" t="s">
        <v>365</v>
      </c>
      <c r="E712" s="30" t="s">
        <v>76</v>
      </c>
      <c r="F712" s="30" t="s">
        <v>398</v>
      </c>
      <c r="G712" s="74">
        <f t="shared" si="58"/>
        <v>538.9</v>
      </c>
      <c r="H712" s="95">
        <f>H713</f>
        <v>538.9</v>
      </c>
      <c r="I712" s="95">
        <f>I713</f>
        <v>0</v>
      </c>
    </row>
    <row r="713" spans="1:9" ht="27">
      <c r="A713" s="14" t="s">
        <v>188</v>
      </c>
      <c r="B713" s="66" t="s">
        <v>401</v>
      </c>
      <c r="C713" s="30" t="s">
        <v>380</v>
      </c>
      <c r="D713" s="30" t="s">
        <v>365</v>
      </c>
      <c r="E713" s="30" t="s">
        <v>76</v>
      </c>
      <c r="F713" s="30" t="s">
        <v>158</v>
      </c>
      <c r="G713" s="74">
        <f t="shared" si="58"/>
        <v>538.9</v>
      </c>
      <c r="H713" s="95">
        <f>H714</f>
        <v>538.9</v>
      </c>
      <c r="I713" s="95">
        <f>I714</f>
        <v>0</v>
      </c>
    </row>
    <row r="714" spans="1:9" ht="41.25">
      <c r="A714" s="37" t="s">
        <v>189</v>
      </c>
      <c r="B714" s="66" t="s">
        <v>401</v>
      </c>
      <c r="C714" s="30" t="s">
        <v>380</v>
      </c>
      <c r="D714" s="30" t="s">
        <v>365</v>
      </c>
      <c r="E714" s="30" t="s">
        <v>77</v>
      </c>
      <c r="F714" s="30" t="s">
        <v>190</v>
      </c>
      <c r="G714" s="74">
        <f t="shared" si="58"/>
        <v>538.9</v>
      </c>
      <c r="H714" s="74">
        <f>320+3+18+150+47.9</f>
        <v>538.9</v>
      </c>
      <c r="I714" s="95"/>
    </row>
    <row r="715" spans="1:9" ht="41.25">
      <c r="A715" s="14" t="s">
        <v>211</v>
      </c>
      <c r="B715" s="66" t="s">
        <v>401</v>
      </c>
      <c r="C715" s="30" t="s">
        <v>380</v>
      </c>
      <c r="D715" s="30" t="s">
        <v>365</v>
      </c>
      <c r="E715" s="30" t="s">
        <v>76</v>
      </c>
      <c r="F715" s="30" t="s">
        <v>212</v>
      </c>
      <c r="G715" s="74">
        <f t="shared" si="58"/>
        <v>348.15</v>
      </c>
      <c r="H715" s="95">
        <f>H716</f>
        <v>348.15</v>
      </c>
      <c r="I715" s="95">
        <f>I716</f>
        <v>0</v>
      </c>
    </row>
    <row r="716" spans="1:9" ht="27">
      <c r="A716" s="14" t="s">
        <v>135</v>
      </c>
      <c r="B716" s="66" t="s">
        <v>401</v>
      </c>
      <c r="C716" s="30" t="s">
        <v>380</v>
      </c>
      <c r="D716" s="30" t="s">
        <v>365</v>
      </c>
      <c r="E716" s="30" t="s">
        <v>78</v>
      </c>
      <c r="F716" s="30" t="s">
        <v>279</v>
      </c>
      <c r="G716" s="74">
        <f t="shared" si="58"/>
        <v>348.15</v>
      </c>
      <c r="H716" s="95">
        <f>280+68.15</f>
        <v>348.15</v>
      </c>
      <c r="I716" s="95"/>
    </row>
    <row r="717" spans="1:9" ht="45" customHeight="1">
      <c r="A717" s="45" t="s">
        <v>455</v>
      </c>
      <c r="B717" s="148" t="s">
        <v>401</v>
      </c>
      <c r="C717" s="49" t="s">
        <v>380</v>
      </c>
      <c r="D717" s="49" t="s">
        <v>365</v>
      </c>
      <c r="E717" s="49" t="s">
        <v>42</v>
      </c>
      <c r="F717" s="49" t="s">
        <v>398</v>
      </c>
      <c r="G717" s="83">
        <f t="shared" si="58"/>
        <v>711</v>
      </c>
      <c r="H717" s="106">
        <f>H718</f>
        <v>711</v>
      </c>
      <c r="I717" s="106">
        <f aca="true" t="shared" si="59" ref="H717:I719">I718</f>
        <v>0</v>
      </c>
    </row>
    <row r="718" spans="1:9" ht="13.5">
      <c r="A718" s="14" t="s">
        <v>390</v>
      </c>
      <c r="B718" s="66" t="s">
        <v>401</v>
      </c>
      <c r="C718" s="30" t="s">
        <v>380</v>
      </c>
      <c r="D718" s="30" t="s">
        <v>365</v>
      </c>
      <c r="E718" s="30" t="s">
        <v>43</v>
      </c>
      <c r="F718" s="30" t="s">
        <v>398</v>
      </c>
      <c r="G718" s="74">
        <f t="shared" si="58"/>
        <v>711</v>
      </c>
      <c r="H718" s="95">
        <f>H719+H724</f>
        <v>711</v>
      </c>
      <c r="I718" s="95">
        <f>I719</f>
        <v>0</v>
      </c>
    </row>
    <row r="719" spans="1:9" ht="27">
      <c r="A719" s="14" t="s">
        <v>188</v>
      </c>
      <c r="B719" s="66" t="s">
        <v>401</v>
      </c>
      <c r="C719" s="30" t="s">
        <v>380</v>
      </c>
      <c r="D719" s="30" t="s">
        <v>365</v>
      </c>
      <c r="E719" s="30" t="s">
        <v>79</v>
      </c>
      <c r="F719" s="30" t="s">
        <v>158</v>
      </c>
      <c r="G719" s="74">
        <f t="shared" si="58"/>
        <v>10</v>
      </c>
      <c r="H719" s="74">
        <f t="shared" si="59"/>
        <v>10</v>
      </c>
      <c r="I719" s="74">
        <f t="shared" si="59"/>
        <v>0</v>
      </c>
    </row>
    <row r="720" spans="1:9" ht="41.25">
      <c r="A720" s="37" t="s">
        <v>189</v>
      </c>
      <c r="B720" s="66" t="s">
        <v>401</v>
      </c>
      <c r="C720" s="30" t="s">
        <v>380</v>
      </c>
      <c r="D720" s="30" t="s">
        <v>365</v>
      </c>
      <c r="E720" s="30" t="s">
        <v>79</v>
      </c>
      <c r="F720" s="30" t="s">
        <v>190</v>
      </c>
      <c r="G720" s="74">
        <f t="shared" si="58"/>
        <v>10</v>
      </c>
      <c r="H720" s="74">
        <v>10</v>
      </c>
      <c r="I720" s="74"/>
    </row>
    <row r="721" spans="1:9" ht="45" customHeight="1" hidden="1">
      <c r="A721" s="45" t="s">
        <v>277</v>
      </c>
      <c r="B721" s="66" t="s">
        <v>401</v>
      </c>
      <c r="C721" s="30" t="s">
        <v>380</v>
      </c>
      <c r="D721" s="30" t="s">
        <v>365</v>
      </c>
      <c r="E721" s="30" t="s">
        <v>79</v>
      </c>
      <c r="F721" s="49" t="s">
        <v>398</v>
      </c>
      <c r="G721" s="83">
        <f t="shared" si="58"/>
        <v>0</v>
      </c>
      <c r="H721" s="83">
        <f>H722</f>
        <v>0</v>
      </c>
      <c r="I721" s="83"/>
    </row>
    <row r="722" spans="1:9" ht="27" hidden="1">
      <c r="A722" s="14" t="s">
        <v>188</v>
      </c>
      <c r="B722" s="66" t="s">
        <v>401</v>
      </c>
      <c r="C722" s="30" t="s">
        <v>380</v>
      </c>
      <c r="D722" s="30" t="s">
        <v>365</v>
      </c>
      <c r="E722" s="30" t="s">
        <v>79</v>
      </c>
      <c r="F722" s="20" t="s">
        <v>158</v>
      </c>
      <c r="G722" s="95">
        <f t="shared" si="58"/>
        <v>0</v>
      </c>
      <c r="H722" s="95">
        <f>H723</f>
        <v>0</v>
      </c>
      <c r="I722" s="74"/>
    </row>
    <row r="723" spans="1:9" ht="41.25" hidden="1">
      <c r="A723" s="37" t="s">
        <v>189</v>
      </c>
      <c r="B723" s="66" t="s">
        <v>401</v>
      </c>
      <c r="C723" s="30" t="s">
        <v>380</v>
      </c>
      <c r="D723" s="30" t="s">
        <v>365</v>
      </c>
      <c r="E723" s="30" t="s">
        <v>79</v>
      </c>
      <c r="F723" s="20" t="s">
        <v>190</v>
      </c>
      <c r="G723" s="95">
        <f t="shared" si="58"/>
        <v>0</v>
      </c>
      <c r="H723" s="95"/>
      <c r="I723" s="74"/>
    </row>
    <row r="724" spans="1:9" ht="41.25">
      <c r="A724" s="14" t="s">
        <v>211</v>
      </c>
      <c r="B724" s="66" t="s">
        <v>401</v>
      </c>
      <c r="C724" s="30" t="s">
        <v>380</v>
      </c>
      <c r="D724" s="30" t="s">
        <v>365</v>
      </c>
      <c r="E724" s="30" t="s">
        <v>79</v>
      </c>
      <c r="F724" s="20" t="s">
        <v>212</v>
      </c>
      <c r="G724" s="95">
        <f>H724</f>
        <v>701</v>
      </c>
      <c r="H724" s="95">
        <f>H725</f>
        <v>701</v>
      </c>
      <c r="I724" s="74"/>
    </row>
    <row r="725" spans="1:9" ht="13.5">
      <c r="A725" s="14" t="s">
        <v>213</v>
      </c>
      <c r="B725" s="66" t="s">
        <v>401</v>
      </c>
      <c r="C725" s="30" t="s">
        <v>380</v>
      </c>
      <c r="D725" s="30" t="s">
        <v>365</v>
      </c>
      <c r="E725" s="30" t="s">
        <v>79</v>
      </c>
      <c r="F725" s="20" t="s">
        <v>279</v>
      </c>
      <c r="G725" s="95">
        <f>H725</f>
        <v>701</v>
      </c>
      <c r="H725" s="95">
        <f>305-10+406</f>
        <v>701</v>
      </c>
      <c r="I725" s="74"/>
    </row>
    <row r="726" spans="1:9" ht="70.5" customHeight="1">
      <c r="A726" s="46" t="s">
        <v>505</v>
      </c>
      <c r="B726" s="63" t="s">
        <v>401</v>
      </c>
      <c r="C726" s="49" t="s">
        <v>380</v>
      </c>
      <c r="D726" s="49" t="s">
        <v>365</v>
      </c>
      <c r="E726" s="49" t="s">
        <v>311</v>
      </c>
      <c r="F726" s="49" t="s">
        <v>398</v>
      </c>
      <c r="G726" s="83">
        <f>H726+I726</f>
        <v>560</v>
      </c>
      <c r="H726" s="83">
        <f>H727+H729</f>
        <v>560</v>
      </c>
      <c r="I726" s="83"/>
    </row>
    <row r="727" spans="1:9" ht="34.5" customHeight="1">
      <c r="A727" s="14" t="s">
        <v>188</v>
      </c>
      <c r="B727" s="17" t="s">
        <v>401</v>
      </c>
      <c r="C727" s="30" t="s">
        <v>380</v>
      </c>
      <c r="D727" s="30" t="s">
        <v>365</v>
      </c>
      <c r="E727" s="30" t="s">
        <v>785</v>
      </c>
      <c r="F727" s="30" t="s">
        <v>158</v>
      </c>
      <c r="G727" s="74">
        <f>H727</f>
        <v>293.1</v>
      </c>
      <c r="H727" s="74">
        <f>H728</f>
        <v>293.1</v>
      </c>
      <c r="I727" s="74"/>
    </row>
    <row r="728" spans="1:9" ht="45.75" customHeight="1">
      <c r="A728" s="37" t="s">
        <v>189</v>
      </c>
      <c r="B728" s="17" t="s">
        <v>401</v>
      </c>
      <c r="C728" s="30" t="s">
        <v>380</v>
      </c>
      <c r="D728" s="30" t="s">
        <v>365</v>
      </c>
      <c r="E728" s="30" t="s">
        <v>785</v>
      </c>
      <c r="F728" s="30" t="s">
        <v>190</v>
      </c>
      <c r="G728" s="74">
        <f>H728</f>
        <v>293.1</v>
      </c>
      <c r="H728" s="74">
        <f>270+23.1</f>
        <v>293.1</v>
      </c>
      <c r="I728" s="74"/>
    </row>
    <row r="729" spans="1:9" ht="42" customHeight="1">
      <c r="A729" s="14" t="s">
        <v>211</v>
      </c>
      <c r="B729" s="66" t="s">
        <v>401</v>
      </c>
      <c r="C729" s="20" t="s">
        <v>380</v>
      </c>
      <c r="D729" s="20" t="s">
        <v>365</v>
      </c>
      <c r="E729" s="30" t="s">
        <v>504</v>
      </c>
      <c r="F729" s="30" t="s">
        <v>212</v>
      </c>
      <c r="G729" s="95">
        <f>H729+I729</f>
        <v>266.9</v>
      </c>
      <c r="H729" s="95">
        <f>H730</f>
        <v>266.9</v>
      </c>
      <c r="I729" s="74"/>
    </row>
    <row r="730" spans="1:9" ht="28.5" customHeight="1">
      <c r="A730" s="14" t="s">
        <v>135</v>
      </c>
      <c r="B730" s="66" t="s">
        <v>401</v>
      </c>
      <c r="C730" s="20" t="s">
        <v>380</v>
      </c>
      <c r="D730" s="20" t="s">
        <v>365</v>
      </c>
      <c r="E730" s="30" t="s">
        <v>504</v>
      </c>
      <c r="F730" s="30" t="s">
        <v>279</v>
      </c>
      <c r="G730" s="95">
        <f>H730+I730</f>
        <v>266.9</v>
      </c>
      <c r="H730" s="95">
        <f>260+30-23.1</f>
        <v>266.9</v>
      </c>
      <c r="I730" s="74"/>
    </row>
    <row r="731" spans="1:9" ht="28.5" customHeight="1">
      <c r="A731" s="87" t="s">
        <v>152</v>
      </c>
      <c r="B731" s="66" t="s">
        <v>401</v>
      </c>
      <c r="C731" s="20" t="s">
        <v>380</v>
      </c>
      <c r="D731" s="20" t="s">
        <v>365</v>
      </c>
      <c r="E731" s="20" t="s">
        <v>17</v>
      </c>
      <c r="F731" s="20" t="s">
        <v>398</v>
      </c>
      <c r="G731" s="95">
        <f aca="true" t="shared" si="60" ref="G731:G737">H731</f>
        <v>132.118</v>
      </c>
      <c r="H731" s="95">
        <f>H732</f>
        <v>132.118</v>
      </c>
      <c r="I731" s="95"/>
    </row>
    <row r="732" spans="1:9" ht="42" customHeight="1">
      <c r="A732" s="65" t="s">
        <v>153</v>
      </c>
      <c r="B732" s="66" t="s">
        <v>401</v>
      </c>
      <c r="C732" s="20" t="s">
        <v>380</v>
      </c>
      <c r="D732" s="20" t="s">
        <v>365</v>
      </c>
      <c r="E732" s="20" t="s">
        <v>18</v>
      </c>
      <c r="F732" s="20" t="s">
        <v>398</v>
      </c>
      <c r="G732" s="95">
        <f t="shared" si="60"/>
        <v>132.118</v>
      </c>
      <c r="H732" s="95">
        <f>H733</f>
        <v>132.118</v>
      </c>
      <c r="I732" s="95"/>
    </row>
    <row r="733" spans="1:9" ht="15.75" customHeight="1">
      <c r="A733" s="67" t="s">
        <v>782</v>
      </c>
      <c r="B733" s="66" t="s">
        <v>401</v>
      </c>
      <c r="C733" s="20" t="s">
        <v>380</v>
      </c>
      <c r="D733" s="20" t="s">
        <v>365</v>
      </c>
      <c r="E733" s="20" t="s">
        <v>783</v>
      </c>
      <c r="F733" s="20" t="s">
        <v>398</v>
      </c>
      <c r="G733" s="95">
        <f t="shared" si="60"/>
        <v>132.118</v>
      </c>
      <c r="H733" s="95">
        <f>H734+H736</f>
        <v>132.118</v>
      </c>
      <c r="I733" s="95"/>
    </row>
    <row r="734" spans="1:9" ht="28.5" customHeight="1">
      <c r="A734" s="65" t="s">
        <v>188</v>
      </c>
      <c r="B734" s="66" t="s">
        <v>401</v>
      </c>
      <c r="C734" s="20" t="s">
        <v>380</v>
      </c>
      <c r="D734" s="20" t="s">
        <v>365</v>
      </c>
      <c r="E734" s="20" t="s">
        <v>783</v>
      </c>
      <c r="F734" s="20" t="s">
        <v>158</v>
      </c>
      <c r="G734" s="95">
        <f t="shared" si="60"/>
        <v>131.81799999999998</v>
      </c>
      <c r="H734" s="95">
        <f>H735</f>
        <v>131.81799999999998</v>
      </c>
      <c r="I734" s="95"/>
    </row>
    <row r="735" spans="1:9" ht="42.75" customHeight="1">
      <c r="A735" s="67" t="s">
        <v>189</v>
      </c>
      <c r="B735" s="66" t="s">
        <v>401</v>
      </c>
      <c r="C735" s="20" t="s">
        <v>380</v>
      </c>
      <c r="D735" s="20" t="s">
        <v>365</v>
      </c>
      <c r="E735" s="20" t="s">
        <v>783</v>
      </c>
      <c r="F735" s="20" t="s">
        <v>190</v>
      </c>
      <c r="G735" s="95">
        <f t="shared" si="60"/>
        <v>131.81799999999998</v>
      </c>
      <c r="H735" s="95">
        <f>72.2+59.918-0.3</f>
        <v>131.81799999999998</v>
      </c>
      <c r="I735" s="95"/>
    </row>
    <row r="736" spans="1:9" ht="18.75" customHeight="1">
      <c r="A736" s="65" t="s">
        <v>193</v>
      </c>
      <c r="B736" s="66" t="s">
        <v>401</v>
      </c>
      <c r="C736" s="20" t="s">
        <v>380</v>
      </c>
      <c r="D736" s="20" t="s">
        <v>365</v>
      </c>
      <c r="E736" s="20" t="s">
        <v>783</v>
      </c>
      <c r="F736" s="20" t="s">
        <v>194</v>
      </c>
      <c r="G736" s="95">
        <f t="shared" si="60"/>
        <v>0.3</v>
      </c>
      <c r="H736" s="95">
        <f>H737</f>
        <v>0.3</v>
      </c>
      <c r="I736" s="95"/>
    </row>
    <row r="737" spans="1:9" ht="19.5" customHeight="1">
      <c r="A737" s="65" t="s">
        <v>191</v>
      </c>
      <c r="B737" s="66" t="s">
        <v>401</v>
      </c>
      <c r="C737" s="20" t="s">
        <v>380</v>
      </c>
      <c r="D737" s="20" t="s">
        <v>365</v>
      </c>
      <c r="E737" s="20" t="s">
        <v>783</v>
      </c>
      <c r="F737" s="20" t="s">
        <v>192</v>
      </c>
      <c r="G737" s="95">
        <f t="shared" si="60"/>
        <v>0.3</v>
      </c>
      <c r="H737" s="95">
        <f>0.3</f>
        <v>0.3</v>
      </c>
      <c r="I737" s="95"/>
    </row>
    <row r="738" spans="1:9" ht="28.5" customHeight="1" hidden="1">
      <c r="A738" s="67"/>
      <c r="B738" s="66"/>
      <c r="C738" s="20"/>
      <c r="D738" s="20"/>
      <c r="E738" s="20"/>
      <c r="F738" s="20"/>
      <c r="G738" s="95"/>
      <c r="H738" s="95"/>
      <c r="I738" s="95"/>
    </row>
    <row r="739" spans="1:9" ht="28.5" customHeight="1" hidden="1">
      <c r="A739" s="67"/>
      <c r="B739" s="66"/>
      <c r="C739" s="20"/>
      <c r="D739" s="20"/>
      <c r="E739" s="20"/>
      <c r="F739" s="20"/>
      <c r="G739" s="95"/>
      <c r="H739" s="95"/>
      <c r="I739" s="95"/>
    </row>
    <row r="740" spans="1:9" ht="13.5">
      <c r="A740" s="68" t="s">
        <v>220</v>
      </c>
      <c r="B740" s="150" t="s">
        <v>401</v>
      </c>
      <c r="C740" s="69" t="s">
        <v>221</v>
      </c>
      <c r="D740" s="69" t="s">
        <v>150</v>
      </c>
      <c r="E740" s="69" t="s">
        <v>311</v>
      </c>
      <c r="F740" s="69" t="s">
        <v>398</v>
      </c>
      <c r="G740" s="82">
        <f>H740+I740</f>
        <v>5624.410999999999</v>
      </c>
      <c r="H740" s="107">
        <f>H745</f>
        <v>0</v>
      </c>
      <c r="I740" s="107">
        <f>I741+I745+I753</f>
        <v>5624.410999999999</v>
      </c>
    </row>
    <row r="741" spans="1:9" ht="14.25">
      <c r="A741" s="64" t="s">
        <v>569</v>
      </c>
      <c r="B741" s="76" t="s">
        <v>401</v>
      </c>
      <c r="C741" s="62" t="s">
        <v>221</v>
      </c>
      <c r="D741" s="62" t="s">
        <v>156</v>
      </c>
      <c r="E741" s="62" t="s">
        <v>311</v>
      </c>
      <c r="F741" s="62" t="s">
        <v>398</v>
      </c>
      <c r="G741" s="82">
        <f>H741+I741</f>
        <v>831.3779999999999</v>
      </c>
      <c r="H741" s="107">
        <f aca="true" t="shared" si="61" ref="H741:I743">H742</f>
        <v>0</v>
      </c>
      <c r="I741" s="107">
        <f>I742</f>
        <v>831.3779999999999</v>
      </c>
    </row>
    <row r="742" spans="1:9" ht="82.5">
      <c r="A742" s="45" t="s">
        <v>570</v>
      </c>
      <c r="B742" s="17" t="s">
        <v>401</v>
      </c>
      <c r="C742" s="30" t="s">
        <v>221</v>
      </c>
      <c r="D742" s="30" t="s">
        <v>156</v>
      </c>
      <c r="E742" s="49" t="s">
        <v>53</v>
      </c>
      <c r="F742" s="49" t="s">
        <v>398</v>
      </c>
      <c r="G742" s="83">
        <f>I742</f>
        <v>831.3779999999999</v>
      </c>
      <c r="H742" s="83">
        <f t="shared" si="61"/>
        <v>0</v>
      </c>
      <c r="I742" s="83">
        <f t="shared" si="61"/>
        <v>831.3779999999999</v>
      </c>
    </row>
    <row r="743" spans="1:9" ht="27">
      <c r="A743" s="14" t="s">
        <v>202</v>
      </c>
      <c r="B743" s="17" t="s">
        <v>401</v>
      </c>
      <c r="C743" s="30" t="s">
        <v>221</v>
      </c>
      <c r="D743" s="30" t="s">
        <v>156</v>
      </c>
      <c r="E743" s="30" t="s">
        <v>804</v>
      </c>
      <c r="F743" s="30" t="s">
        <v>159</v>
      </c>
      <c r="G743" s="74">
        <f>I743</f>
        <v>831.3779999999999</v>
      </c>
      <c r="H743" s="74">
        <f t="shared" si="61"/>
        <v>0</v>
      </c>
      <c r="I743" s="74">
        <f t="shared" si="61"/>
        <v>831.3779999999999</v>
      </c>
    </row>
    <row r="744" spans="1:9" ht="27">
      <c r="A744" s="14" t="s">
        <v>205</v>
      </c>
      <c r="B744" s="17" t="s">
        <v>401</v>
      </c>
      <c r="C744" s="30" t="s">
        <v>221</v>
      </c>
      <c r="D744" s="30" t="s">
        <v>156</v>
      </c>
      <c r="E744" s="30" t="s">
        <v>804</v>
      </c>
      <c r="F744" s="30" t="s">
        <v>206</v>
      </c>
      <c r="G744" s="74">
        <f>I744</f>
        <v>831.3779999999999</v>
      </c>
      <c r="H744" s="74"/>
      <c r="I744" s="74">
        <f>1130-298.622</f>
        <v>831.3779999999999</v>
      </c>
    </row>
    <row r="745" spans="1:10" ht="14.25">
      <c r="A745" s="64" t="s">
        <v>391</v>
      </c>
      <c r="B745" s="76" t="s">
        <v>401</v>
      </c>
      <c r="C745" s="62" t="s">
        <v>221</v>
      </c>
      <c r="D745" s="62" t="s">
        <v>160</v>
      </c>
      <c r="E745" s="62" t="s">
        <v>311</v>
      </c>
      <c r="F745" s="62" t="s">
        <v>398</v>
      </c>
      <c r="G745" s="77">
        <f aca="true" t="shared" si="62" ref="G745:G762">H745+I745</f>
        <v>4493.032999999999</v>
      </c>
      <c r="H745" s="77">
        <f>H746</f>
        <v>0</v>
      </c>
      <c r="I745" s="77">
        <f>I748</f>
        <v>4493.032999999999</v>
      </c>
      <c r="J745" s="73"/>
    </row>
    <row r="746" spans="1:9" ht="41.25">
      <c r="A746" s="45" t="s">
        <v>452</v>
      </c>
      <c r="B746" s="148" t="s">
        <v>401</v>
      </c>
      <c r="C746" s="49" t="s">
        <v>221</v>
      </c>
      <c r="D746" s="49" t="s">
        <v>150</v>
      </c>
      <c r="E746" s="49" t="s">
        <v>35</v>
      </c>
      <c r="F746" s="49" t="s">
        <v>398</v>
      </c>
      <c r="G746" s="74">
        <f t="shared" si="62"/>
        <v>4493.032999999999</v>
      </c>
      <c r="H746" s="95">
        <f>H747</f>
        <v>0</v>
      </c>
      <c r="I746" s="95">
        <f>I747</f>
        <v>4493.032999999999</v>
      </c>
    </row>
    <row r="747" spans="1:9" ht="45" customHeight="1">
      <c r="A747" s="70" t="s">
        <v>250</v>
      </c>
      <c r="B747" s="66" t="s">
        <v>401</v>
      </c>
      <c r="C747" s="30" t="s">
        <v>221</v>
      </c>
      <c r="D747" s="30" t="s">
        <v>160</v>
      </c>
      <c r="E747" s="30" t="s">
        <v>48</v>
      </c>
      <c r="F747" s="30" t="s">
        <v>398</v>
      </c>
      <c r="G747" s="74">
        <f t="shared" si="62"/>
        <v>4493.032999999999</v>
      </c>
      <c r="H747" s="95">
        <f>H748</f>
        <v>0</v>
      </c>
      <c r="I747" s="95">
        <f>I748</f>
        <v>4493.032999999999</v>
      </c>
    </row>
    <row r="748" spans="1:11" ht="69">
      <c r="A748" s="14" t="s">
        <v>223</v>
      </c>
      <c r="B748" s="17" t="s">
        <v>401</v>
      </c>
      <c r="C748" s="30" t="s">
        <v>221</v>
      </c>
      <c r="D748" s="30" t="s">
        <v>160</v>
      </c>
      <c r="E748" s="30" t="s">
        <v>94</v>
      </c>
      <c r="F748" s="30" t="s">
        <v>398</v>
      </c>
      <c r="G748" s="74">
        <f t="shared" si="62"/>
        <v>4493.032999999999</v>
      </c>
      <c r="H748" s="74">
        <f>H750</f>
        <v>0</v>
      </c>
      <c r="I748" s="74">
        <f>I749+I750</f>
        <v>4493.032999999999</v>
      </c>
      <c r="K748" s="73"/>
    </row>
    <row r="749" spans="1:10" ht="41.25">
      <c r="A749" s="37" t="s">
        <v>189</v>
      </c>
      <c r="B749" s="17" t="s">
        <v>401</v>
      </c>
      <c r="C749" s="30" t="s">
        <v>221</v>
      </c>
      <c r="D749" s="30" t="s">
        <v>160</v>
      </c>
      <c r="E749" s="30" t="s">
        <v>94</v>
      </c>
      <c r="F749" s="30" t="s">
        <v>190</v>
      </c>
      <c r="G749" s="74">
        <f t="shared" si="62"/>
        <v>67.3955</v>
      </c>
      <c r="H749" s="74"/>
      <c r="I749" s="74">
        <f>82.3955-15</f>
        <v>67.3955</v>
      </c>
      <c r="J749" s="324"/>
    </row>
    <row r="750" spans="1:9" ht="27">
      <c r="A750" s="43" t="s">
        <v>203</v>
      </c>
      <c r="B750" s="17" t="s">
        <v>401</v>
      </c>
      <c r="C750" s="30" t="s">
        <v>221</v>
      </c>
      <c r="D750" s="30" t="s">
        <v>160</v>
      </c>
      <c r="E750" s="30" t="s">
        <v>94</v>
      </c>
      <c r="F750" s="10">
        <v>310</v>
      </c>
      <c r="G750" s="74">
        <f t="shared" si="62"/>
        <v>4425.6375</v>
      </c>
      <c r="H750" s="74"/>
      <c r="I750" s="74">
        <f>5410.6375-985</f>
        <v>4425.6375</v>
      </c>
    </row>
    <row r="751" spans="1:9" ht="41.25">
      <c r="A751" s="45" t="s">
        <v>453</v>
      </c>
      <c r="B751" s="17" t="s">
        <v>401</v>
      </c>
      <c r="C751" s="30" t="s">
        <v>221</v>
      </c>
      <c r="D751" s="30" t="s">
        <v>160</v>
      </c>
      <c r="E751" s="49" t="s">
        <v>35</v>
      </c>
      <c r="F751" s="49" t="s">
        <v>398</v>
      </c>
      <c r="G751" s="74">
        <f t="shared" si="62"/>
        <v>300</v>
      </c>
      <c r="H751" s="74"/>
      <c r="I751" s="74">
        <f>I752</f>
        <v>300</v>
      </c>
    </row>
    <row r="752" spans="1:9" ht="33" customHeight="1">
      <c r="A752" s="70" t="s">
        <v>444</v>
      </c>
      <c r="B752" s="17" t="s">
        <v>401</v>
      </c>
      <c r="C752" s="30" t="s">
        <v>221</v>
      </c>
      <c r="D752" s="30" t="s">
        <v>160</v>
      </c>
      <c r="E752" s="30" t="s">
        <v>70</v>
      </c>
      <c r="F752" s="30" t="s">
        <v>398</v>
      </c>
      <c r="G752" s="74">
        <f t="shared" si="62"/>
        <v>300</v>
      </c>
      <c r="H752" s="74"/>
      <c r="I752" s="74">
        <f>I753</f>
        <v>300</v>
      </c>
    </row>
    <row r="753" spans="1:9" ht="54.75">
      <c r="A753" s="68" t="s">
        <v>690</v>
      </c>
      <c r="B753" s="150" t="s">
        <v>401</v>
      </c>
      <c r="C753" s="69" t="s">
        <v>221</v>
      </c>
      <c r="D753" s="69" t="s">
        <v>160</v>
      </c>
      <c r="E753" s="69" t="s">
        <v>70</v>
      </c>
      <c r="F753" s="69" t="s">
        <v>398</v>
      </c>
      <c r="G753" s="82">
        <f t="shared" si="62"/>
        <v>300</v>
      </c>
      <c r="H753" s="107"/>
      <c r="I753" s="107">
        <f>I754+I776</f>
        <v>300</v>
      </c>
    </row>
    <row r="754" spans="1:9" ht="27">
      <c r="A754" s="37" t="s">
        <v>202</v>
      </c>
      <c r="B754" s="66" t="s">
        <v>401</v>
      </c>
      <c r="C754" s="30" t="s">
        <v>221</v>
      </c>
      <c r="D754" s="30" t="s">
        <v>160</v>
      </c>
      <c r="E754" s="30" t="s">
        <v>71</v>
      </c>
      <c r="F754" s="30" t="s">
        <v>159</v>
      </c>
      <c r="G754" s="74">
        <f t="shared" si="62"/>
        <v>300</v>
      </c>
      <c r="H754" s="95"/>
      <c r="I754" s="95">
        <f>I755</f>
        <v>300</v>
      </c>
    </row>
    <row r="755" spans="1:9" ht="33" customHeight="1">
      <c r="A755" s="37" t="s">
        <v>203</v>
      </c>
      <c r="B755" s="17" t="s">
        <v>401</v>
      </c>
      <c r="C755" s="30" t="s">
        <v>221</v>
      </c>
      <c r="D755" s="30" t="s">
        <v>160</v>
      </c>
      <c r="E755" s="30" t="s">
        <v>71</v>
      </c>
      <c r="F755" s="30" t="s">
        <v>204</v>
      </c>
      <c r="G755" s="74">
        <f t="shared" si="62"/>
        <v>300</v>
      </c>
      <c r="H755" s="74"/>
      <c r="I755" s="74">
        <v>300</v>
      </c>
    </row>
    <row r="756" spans="1:9" ht="17.25" customHeight="1">
      <c r="A756" s="68" t="s">
        <v>224</v>
      </c>
      <c r="B756" s="75" t="s">
        <v>401</v>
      </c>
      <c r="C756" s="69" t="s">
        <v>166</v>
      </c>
      <c r="D756" s="69" t="s">
        <v>150</v>
      </c>
      <c r="E756" s="69" t="s">
        <v>311</v>
      </c>
      <c r="F756" s="69" t="s">
        <v>398</v>
      </c>
      <c r="G756" s="82">
        <f t="shared" si="62"/>
        <v>209.13615</v>
      </c>
      <c r="H756" s="82">
        <f>H757</f>
        <v>65.59095</v>
      </c>
      <c r="I756" s="82">
        <f>I757</f>
        <v>143.5452</v>
      </c>
    </row>
    <row r="757" spans="1:9" ht="17.25" customHeight="1">
      <c r="A757" s="14" t="s">
        <v>334</v>
      </c>
      <c r="B757" s="17" t="s">
        <v>401</v>
      </c>
      <c r="C757" s="30" t="s">
        <v>166</v>
      </c>
      <c r="D757" s="30" t="s">
        <v>151</v>
      </c>
      <c r="E757" s="30" t="s">
        <v>311</v>
      </c>
      <c r="F757" s="30" t="s">
        <v>398</v>
      </c>
      <c r="G757" s="74">
        <f>H757+I757</f>
        <v>209.13615</v>
      </c>
      <c r="H757" s="74">
        <f>H758</f>
        <v>65.59095</v>
      </c>
      <c r="I757" s="74">
        <f>I758</f>
        <v>143.5452</v>
      </c>
    </row>
    <row r="758" spans="1:9" ht="46.5" customHeight="1">
      <c r="A758" s="45" t="s">
        <v>458</v>
      </c>
      <c r="B758" s="17" t="s">
        <v>401</v>
      </c>
      <c r="C758" s="30" t="s">
        <v>166</v>
      </c>
      <c r="D758" s="30" t="s">
        <v>151</v>
      </c>
      <c r="E758" s="49" t="s">
        <v>95</v>
      </c>
      <c r="F758" s="30" t="s">
        <v>398</v>
      </c>
      <c r="G758" s="74">
        <f>H758+I758</f>
        <v>209.13615</v>
      </c>
      <c r="H758" s="74">
        <f>H759+H762</f>
        <v>65.59095</v>
      </c>
      <c r="I758" s="74">
        <f>I759+I762</f>
        <v>143.5452</v>
      </c>
    </row>
    <row r="759" spans="1:9" ht="28.5" customHeight="1">
      <c r="A759" s="14" t="s">
        <v>225</v>
      </c>
      <c r="B759" s="17" t="s">
        <v>401</v>
      </c>
      <c r="C759" s="30" t="s">
        <v>166</v>
      </c>
      <c r="D759" s="30" t="s">
        <v>151</v>
      </c>
      <c r="E759" s="30" t="s">
        <v>96</v>
      </c>
      <c r="F759" s="30" t="s">
        <v>398</v>
      </c>
      <c r="G759" s="74">
        <f>H759+I759</f>
        <v>64.141</v>
      </c>
      <c r="H759" s="74">
        <f>H760</f>
        <v>64.141</v>
      </c>
      <c r="I759" s="74"/>
    </row>
    <row r="760" spans="1:9" ht="48" customHeight="1">
      <c r="A760" s="14" t="s">
        <v>577</v>
      </c>
      <c r="B760" s="17" t="s">
        <v>401</v>
      </c>
      <c r="C760" s="30" t="s">
        <v>166</v>
      </c>
      <c r="D760" s="30" t="s">
        <v>151</v>
      </c>
      <c r="E760" s="30" t="s">
        <v>96</v>
      </c>
      <c r="F760" s="30" t="s">
        <v>212</v>
      </c>
      <c r="G760" s="74">
        <f>H760</f>
        <v>64.141</v>
      </c>
      <c r="H760" s="74">
        <f>H761</f>
        <v>64.141</v>
      </c>
      <c r="I760" s="74"/>
    </row>
    <row r="761" spans="1:9" ht="21" customHeight="1">
      <c r="A761" s="14" t="s">
        <v>176</v>
      </c>
      <c r="B761" s="17" t="s">
        <v>401</v>
      </c>
      <c r="C761" s="30" t="s">
        <v>166</v>
      </c>
      <c r="D761" s="30" t="s">
        <v>151</v>
      </c>
      <c r="E761" s="30" t="s">
        <v>96</v>
      </c>
      <c r="F761" s="30" t="s">
        <v>279</v>
      </c>
      <c r="G761" s="74">
        <f>H761</f>
        <v>64.141</v>
      </c>
      <c r="H761" s="74">
        <v>64.141</v>
      </c>
      <c r="I761" s="74"/>
    </row>
    <row r="762" spans="1:9" ht="42" customHeight="1">
      <c r="A762" s="68" t="s">
        <v>675</v>
      </c>
      <c r="B762" s="17" t="s">
        <v>401</v>
      </c>
      <c r="C762" s="69" t="s">
        <v>166</v>
      </c>
      <c r="D762" s="69" t="s">
        <v>151</v>
      </c>
      <c r="E762" s="69" t="s">
        <v>95</v>
      </c>
      <c r="F762" s="69" t="s">
        <v>398</v>
      </c>
      <c r="G762" s="82">
        <f t="shared" si="62"/>
        <v>144.99515</v>
      </c>
      <c r="H762" s="82">
        <f>H766</f>
        <v>1.4499499999999999</v>
      </c>
      <c r="I762" s="82">
        <f>I763</f>
        <v>143.5452</v>
      </c>
    </row>
    <row r="763" spans="1:9" ht="75.75" customHeight="1">
      <c r="A763" s="46" t="s">
        <v>681</v>
      </c>
      <c r="B763" s="63" t="s">
        <v>401</v>
      </c>
      <c r="C763" s="49" t="s">
        <v>166</v>
      </c>
      <c r="D763" s="49" t="s">
        <v>151</v>
      </c>
      <c r="E763" s="49" t="s">
        <v>678</v>
      </c>
      <c r="F763" s="49" t="s">
        <v>398</v>
      </c>
      <c r="G763" s="83">
        <f>I763</f>
        <v>143.5452</v>
      </c>
      <c r="H763" s="83"/>
      <c r="I763" s="83">
        <f>I764</f>
        <v>143.5452</v>
      </c>
    </row>
    <row r="764" spans="1:9" ht="42.75" customHeight="1">
      <c r="A764" s="14" t="s">
        <v>577</v>
      </c>
      <c r="B764" s="17" t="s">
        <v>401</v>
      </c>
      <c r="C764" s="30" t="s">
        <v>166</v>
      </c>
      <c r="D764" s="30" t="s">
        <v>151</v>
      </c>
      <c r="E764" s="30" t="s">
        <v>678</v>
      </c>
      <c r="F764" s="30" t="s">
        <v>212</v>
      </c>
      <c r="G764" s="74">
        <f>I764</f>
        <v>143.5452</v>
      </c>
      <c r="H764" s="74"/>
      <c r="I764" s="74">
        <f>I765</f>
        <v>143.5452</v>
      </c>
    </row>
    <row r="765" spans="1:9" ht="18" customHeight="1">
      <c r="A765" s="14" t="s">
        <v>176</v>
      </c>
      <c r="B765" s="17" t="s">
        <v>401</v>
      </c>
      <c r="C765" s="30" t="s">
        <v>166</v>
      </c>
      <c r="D765" s="30" t="s">
        <v>151</v>
      </c>
      <c r="E765" s="30" t="s">
        <v>678</v>
      </c>
      <c r="F765" s="30" t="s">
        <v>279</v>
      </c>
      <c r="G765" s="74">
        <f>I765</f>
        <v>143.5452</v>
      </c>
      <c r="H765" s="74"/>
      <c r="I765" s="74">
        <f>70.291+73.2542</f>
        <v>143.5452</v>
      </c>
    </row>
    <row r="766" spans="1:9" ht="86.25" customHeight="1">
      <c r="A766" s="46" t="s">
        <v>682</v>
      </c>
      <c r="B766" s="63" t="s">
        <v>401</v>
      </c>
      <c r="C766" s="49" t="s">
        <v>166</v>
      </c>
      <c r="D766" s="49" t="s">
        <v>151</v>
      </c>
      <c r="E766" s="49" t="s">
        <v>679</v>
      </c>
      <c r="F766" s="49" t="s">
        <v>398</v>
      </c>
      <c r="G766" s="83">
        <f>H766</f>
        <v>1.4499499999999999</v>
      </c>
      <c r="H766" s="83">
        <f>H767</f>
        <v>1.4499499999999999</v>
      </c>
      <c r="I766" s="83"/>
    </row>
    <row r="767" spans="1:9" ht="43.5" customHeight="1">
      <c r="A767" s="14" t="s">
        <v>577</v>
      </c>
      <c r="B767" s="17" t="s">
        <v>401</v>
      </c>
      <c r="C767" s="30" t="s">
        <v>166</v>
      </c>
      <c r="D767" s="30" t="s">
        <v>151</v>
      </c>
      <c r="E767" s="30" t="s">
        <v>679</v>
      </c>
      <c r="F767" s="30" t="s">
        <v>212</v>
      </c>
      <c r="G767" s="74">
        <f>H767</f>
        <v>1.4499499999999999</v>
      </c>
      <c r="H767" s="74">
        <f>H768</f>
        <v>1.4499499999999999</v>
      </c>
      <c r="I767" s="74"/>
    </row>
    <row r="768" spans="1:9" ht="16.5" customHeight="1">
      <c r="A768" s="14" t="s">
        <v>176</v>
      </c>
      <c r="B768" s="17" t="s">
        <v>401</v>
      </c>
      <c r="C768" s="30" t="s">
        <v>166</v>
      </c>
      <c r="D768" s="30" t="s">
        <v>151</v>
      </c>
      <c r="E768" s="30" t="s">
        <v>679</v>
      </c>
      <c r="F768" s="30" t="s">
        <v>279</v>
      </c>
      <c r="G768" s="74">
        <f>H768</f>
        <v>1.4499499999999999</v>
      </c>
      <c r="H768" s="74">
        <f>1.40427+0.04568</f>
        <v>1.4499499999999999</v>
      </c>
      <c r="I768" s="74"/>
    </row>
    <row r="769" spans="1:9" ht="44.25" customHeight="1" hidden="1">
      <c r="A769" s="71" t="s">
        <v>575</v>
      </c>
      <c r="B769" s="75" t="s">
        <v>401</v>
      </c>
      <c r="C769" s="69" t="s">
        <v>166</v>
      </c>
      <c r="D769" s="69" t="s">
        <v>151</v>
      </c>
      <c r="E769" s="69" t="s">
        <v>95</v>
      </c>
      <c r="F769" s="69" t="s">
        <v>398</v>
      </c>
      <c r="G769" s="82">
        <f>H769+I769</f>
        <v>0</v>
      </c>
      <c r="H769" s="82">
        <f>H773</f>
        <v>0</v>
      </c>
      <c r="I769" s="82">
        <f>I770</f>
        <v>0</v>
      </c>
    </row>
    <row r="770" spans="1:9" ht="72" customHeight="1" hidden="1">
      <c r="A770" s="46" t="s">
        <v>845</v>
      </c>
      <c r="B770" s="63" t="s">
        <v>401</v>
      </c>
      <c r="C770" s="49" t="s">
        <v>166</v>
      </c>
      <c r="D770" s="49" t="s">
        <v>151</v>
      </c>
      <c r="E770" s="49" t="s">
        <v>830</v>
      </c>
      <c r="F770" s="49" t="s">
        <v>398</v>
      </c>
      <c r="G770" s="83">
        <f>I770</f>
        <v>0</v>
      </c>
      <c r="H770" s="83"/>
      <c r="I770" s="83">
        <f>I771</f>
        <v>0</v>
      </c>
    </row>
    <row r="771" spans="1:9" ht="43.5" customHeight="1" hidden="1">
      <c r="A771" s="14" t="s">
        <v>577</v>
      </c>
      <c r="B771" s="17" t="s">
        <v>401</v>
      </c>
      <c r="C771" s="30" t="s">
        <v>166</v>
      </c>
      <c r="D771" s="30" t="s">
        <v>151</v>
      </c>
      <c r="E771" s="30" t="s">
        <v>830</v>
      </c>
      <c r="F771" s="30" t="s">
        <v>212</v>
      </c>
      <c r="G771" s="74">
        <f>I771</f>
        <v>0</v>
      </c>
      <c r="H771" s="74"/>
      <c r="I771" s="74">
        <f>I772</f>
        <v>0</v>
      </c>
    </row>
    <row r="772" spans="1:9" ht="20.25" customHeight="1" hidden="1">
      <c r="A772" s="14" t="s">
        <v>176</v>
      </c>
      <c r="B772" s="17" t="s">
        <v>401</v>
      </c>
      <c r="C772" s="30" t="s">
        <v>166</v>
      </c>
      <c r="D772" s="30" t="s">
        <v>151</v>
      </c>
      <c r="E772" s="30" t="s">
        <v>830</v>
      </c>
      <c r="F772" s="30" t="s">
        <v>279</v>
      </c>
      <c r="G772" s="74">
        <f>I772</f>
        <v>0</v>
      </c>
      <c r="H772" s="74"/>
      <c r="I772" s="74"/>
    </row>
    <row r="773" spans="1:9" ht="98.25" customHeight="1" hidden="1">
      <c r="A773" s="46" t="s">
        <v>594</v>
      </c>
      <c r="B773" s="63" t="s">
        <v>401</v>
      </c>
      <c r="C773" s="49" t="s">
        <v>166</v>
      </c>
      <c r="D773" s="49" t="s">
        <v>151</v>
      </c>
      <c r="E773" s="49" t="s">
        <v>831</v>
      </c>
      <c r="F773" s="49" t="s">
        <v>398</v>
      </c>
      <c r="G773" s="83">
        <f>H773</f>
        <v>0</v>
      </c>
      <c r="H773" s="83">
        <f>H774</f>
        <v>0</v>
      </c>
      <c r="I773" s="83"/>
    </row>
    <row r="774" spans="1:9" ht="42" customHeight="1" hidden="1">
      <c r="A774" s="14" t="s">
        <v>577</v>
      </c>
      <c r="B774" s="17" t="s">
        <v>401</v>
      </c>
      <c r="C774" s="30" t="s">
        <v>166</v>
      </c>
      <c r="D774" s="30" t="s">
        <v>151</v>
      </c>
      <c r="E774" s="30" t="s">
        <v>831</v>
      </c>
      <c r="F774" s="30" t="s">
        <v>212</v>
      </c>
      <c r="G774" s="74">
        <f>H774</f>
        <v>0</v>
      </c>
      <c r="H774" s="74">
        <f>H775</f>
        <v>0</v>
      </c>
      <c r="I774" s="74"/>
    </row>
    <row r="775" spans="1:9" ht="23.25" customHeight="1" hidden="1">
      <c r="A775" s="14" t="s">
        <v>176</v>
      </c>
      <c r="B775" s="17" t="s">
        <v>401</v>
      </c>
      <c r="C775" s="30" t="s">
        <v>166</v>
      </c>
      <c r="D775" s="30" t="s">
        <v>151</v>
      </c>
      <c r="E775" s="30" t="s">
        <v>831</v>
      </c>
      <c r="F775" s="30" t="s">
        <v>279</v>
      </c>
      <c r="G775" s="74">
        <f>H775</f>
        <v>0</v>
      </c>
      <c r="H775" s="74">
        <v>0</v>
      </c>
      <c r="I775" s="74"/>
    </row>
    <row r="776" spans="1:9" ht="27">
      <c r="A776" s="321" t="s">
        <v>141</v>
      </c>
      <c r="B776" s="150" t="s">
        <v>400</v>
      </c>
      <c r="C776" s="150" t="s">
        <v>150</v>
      </c>
      <c r="D776" s="150" t="s">
        <v>150</v>
      </c>
      <c r="E776" s="150" t="s">
        <v>311</v>
      </c>
      <c r="F776" s="150" t="s">
        <v>398</v>
      </c>
      <c r="G776" s="82">
        <f aca="true" t="shared" si="63" ref="G776:G788">H776+I776</f>
        <v>1786.5220399999998</v>
      </c>
      <c r="H776" s="107">
        <f>H777</f>
        <v>1786.5220399999998</v>
      </c>
      <c r="I776" s="107">
        <f>I777</f>
        <v>0</v>
      </c>
    </row>
    <row r="777" spans="1:9" ht="41.25">
      <c r="A777" s="43" t="s">
        <v>387</v>
      </c>
      <c r="B777" s="66" t="s">
        <v>400</v>
      </c>
      <c r="C777" s="30" t="s">
        <v>149</v>
      </c>
      <c r="D777" s="30" t="s">
        <v>162</v>
      </c>
      <c r="E777" s="30" t="s">
        <v>311</v>
      </c>
      <c r="F777" s="30" t="s">
        <v>398</v>
      </c>
      <c r="G777" s="74">
        <f t="shared" si="63"/>
        <v>1786.5220399999998</v>
      </c>
      <c r="H777" s="95">
        <f>H778</f>
        <v>1786.5220399999998</v>
      </c>
      <c r="I777" s="95">
        <f>I778</f>
        <v>0</v>
      </c>
    </row>
    <row r="778" spans="1:9" ht="27">
      <c r="A778" s="43" t="s">
        <v>347</v>
      </c>
      <c r="B778" s="66" t="s">
        <v>400</v>
      </c>
      <c r="C778" s="30" t="s">
        <v>149</v>
      </c>
      <c r="D778" s="30" t="s">
        <v>162</v>
      </c>
      <c r="E778" s="30" t="s">
        <v>17</v>
      </c>
      <c r="F778" s="30" t="s">
        <v>398</v>
      </c>
      <c r="G778" s="74">
        <f t="shared" si="63"/>
        <v>1786.5220399999998</v>
      </c>
      <c r="H778" s="95">
        <f>H779</f>
        <v>1786.5220399999998</v>
      </c>
      <c r="I778" s="95">
        <f>I779+I786</f>
        <v>0</v>
      </c>
    </row>
    <row r="779" spans="1:10" ht="41.25">
      <c r="A779" s="14" t="s">
        <v>880</v>
      </c>
      <c r="B779" s="66" t="s">
        <v>400</v>
      </c>
      <c r="C779" s="30" t="s">
        <v>149</v>
      </c>
      <c r="D779" s="30" t="s">
        <v>162</v>
      </c>
      <c r="E779" s="30" t="s">
        <v>18</v>
      </c>
      <c r="F779" s="30" t="s">
        <v>398</v>
      </c>
      <c r="G779" s="74">
        <f t="shared" si="63"/>
        <v>1786.5220399999998</v>
      </c>
      <c r="H779" s="95">
        <f>H782+H784+H786+H781</f>
        <v>1786.5220399999998</v>
      </c>
      <c r="I779" s="95">
        <f>I782+I784+I786</f>
        <v>0</v>
      </c>
      <c r="J779" s="73"/>
    </row>
    <row r="780" spans="1:10" ht="75" customHeight="1" hidden="1">
      <c r="A780" s="14" t="s">
        <v>185</v>
      </c>
      <c r="B780" s="66" t="s">
        <v>400</v>
      </c>
      <c r="C780" s="30" t="s">
        <v>149</v>
      </c>
      <c r="D780" s="30" t="s">
        <v>162</v>
      </c>
      <c r="E780" s="30" t="s">
        <v>21</v>
      </c>
      <c r="F780" s="30" t="s">
        <v>154</v>
      </c>
      <c r="G780" s="74">
        <f t="shared" si="63"/>
        <v>0</v>
      </c>
      <c r="H780" s="95">
        <f>H781</f>
        <v>0</v>
      </c>
      <c r="I780" s="95">
        <f>I781</f>
        <v>0</v>
      </c>
      <c r="J780" s="73"/>
    </row>
    <row r="781" spans="1:9" ht="27" hidden="1">
      <c r="A781" s="14" t="s">
        <v>187</v>
      </c>
      <c r="B781" s="66" t="s">
        <v>400</v>
      </c>
      <c r="C781" s="30" t="s">
        <v>149</v>
      </c>
      <c r="D781" s="30" t="s">
        <v>162</v>
      </c>
      <c r="E781" s="30" t="s">
        <v>21</v>
      </c>
      <c r="F781" s="30" t="s">
        <v>186</v>
      </c>
      <c r="G781" s="74">
        <f t="shared" si="63"/>
        <v>0</v>
      </c>
      <c r="H781" s="74">
        <f>634.785+191.705-100-726.49</f>
        <v>0</v>
      </c>
      <c r="I781" s="95"/>
    </row>
    <row r="782" spans="1:9" ht="27">
      <c r="A782" s="14" t="s">
        <v>188</v>
      </c>
      <c r="B782" s="66" t="s">
        <v>400</v>
      </c>
      <c r="C782" s="30" t="s">
        <v>149</v>
      </c>
      <c r="D782" s="30" t="s">
        <v>162</v>
      </c>
      <c r="E782" s="30" t="s">
        <v>21</v>
      </c>
      <c r="F782" s="30" t="s">
        <v>158</v>
      </c>
      <c r="G782" s="74">
        <f t="shared" si="63"/>
        <v>156.8</v>
      </c>
      <c r="H782" s="95">
        <f>H783</f>
        <v>156.8</v>
      </c>
      <c r="I782" s="95">
        <f>I783</f>
        <v>0</v>
      </c>
    </row>
    <row r="783" spans="1:9" ht="41.25">
      <c r="A783" s="14" t="s">
        <v>189</v>
      </c>
      <c r="B783" s="66" t="s">
        <v>400</v>
      </c>
      <c r="C783" s="30" t="s">
        <v>149</v>
      </c>
      <c r="D783" s="30" t="s">
        <v>162</v>
      </c>
      <c r="E783" s="30" t="s">
        <v>21</v>
      </c>
      <c r="F783" s="30" t="s">
        <v>190</v>
      </c>
      <c r="G783" s="74">
        <f t="shared" si="63"/>
        <v>156.8</v>
      </c>
      <c r="H783" s="74">
        <f>61.8+50+45+100-100</f>
        <v>156.8</v>
      </c>
      <c r="I783" s="95"/>
    </row>
    <row r="784" spans="1:9" ht="13.5">
      <c r="A784" s="14" t="s">
        <v>193</v>
      </c>
      <c r="B784" s="66" t="s">
        <v>400</v>
      </c>
      <c r="C784" s="30" t="s">
        <v>149</v>
      </c>
      <c r="D784" s="30" t="s">
        <v>162</v>
      </c>
      <c r="E784" s="30" t="s">
        <v>21</v>
      </c>
      <c r="F784" s="30" t="s">
        <v>194</v>
      </c>
      <c r="G784" s="74">
        <f t="shared" si="63"/>
        <v>2</v>
      </c>
      <c r="H784" s="74">
        <f>H785</f>
        <v>2</v>
      </c>
      <c r="I784" s="95"/>
    </row>
    <row r="785" spans="1:9" ht="13.5">
      <c r="A785" s="14" t="s">
        <v>191</v>
      </c>
      <c r="B785" s="66" t="s">
        <v>400</v>
      </c>
      <c r="C785" s="30" t="s">
        <v>149</v>
      </c>
      <c r="D785" s="30" t="s">
        <v>162</v>
      </c>
      <c r="E785" s="30" t="s">
        <v>21</v>
      </c>
      <c r="F785" s="30" t="s">
        <v>192</v>
      </c>
      <c r="G785" s="74">
        <f t="shared" si="63"/>
        <v>2</v>
      </c>
      <c r="H785" s="74">
        <v>2</v>
      </c>
      <c r="I785" s="95"/>
    </row>
    <row r="786" spans="1:11" ht="13.5">
      <c r="A786" s="45" t="s">
        <v>164</v>
      </c>
      <c r="B786" s="148" t="s">
        <v>400</v>
      </c>
      <c r="C786" s="49" t="s">
        <v>149</v>
      </c>
      <c r="D786" s="49" t="s">
        <v>162</v>
      </c>
      <c r="E786" s="49" t="s">
        <v>22</v>
      </c>
      <c r="F786" s="49" t="s">
        <v>398</v>
      </c>
      <c r="G786" s="83">
        <f t="shared" si="63"/>
        <v>1627.7220399999999</v>
      </c>
      <c r="H786" s="106">
        <f>H787</f>
        <v>1627.7220399999999</v>
      </c>
      <c r="I786" s="106">
        <f>I787</f>
        <v>0</v>
      </c>
      <c r="J786" s="94"/>
      <c r="K786" s="73"/>
    </row>
    <row r="787" spans="1:9" ht="73.5" customHeight="1">
      <c r="A787" s="14" t="s">
        <v>185</v>
      </c>
      <c r="B787" s="66" t="s">
        <v>400</v>
      </c>
      <c r="C787" s="30" t="s">
        <v>149</v>
      </c>
      <c r="D787" s="30" t="s">
        <v>162</v>
      </c>
      <c r="E787" s="30" t="s">
        <v>22</v>
      </c>
      <c r="F787" s="30" t="s">
        <v>154</v>
      </c>
      <c r="G787" s="74">
        <f t="shared" si="63"/>
        <v>1627.7220399999999</v>
      </c>
      <c r="H787" s="74">
        <f>H788</f>
        <v>1627.7220399999999</v>
      </c>
      <c r="I787" s="74">
        <f>I788</f>
        <v>0</v>
      </c>
    </row>
    <row r="788" spans="1:9" ht="29.25" customHeight="1">
      <c r="A788" s="14" t="s">
        <v>187</v>
      </c>
      <c r="B788" s="66" t="s">
        <v>400</v>
      </c>
      <c r="C788" s="30" t="s">
        <v>149</v>
      </c>
      <c r="D788" s="30" t="s">
        <v>162</v>
      </c>
      <c r="E788" s="30" t="s">
        <v>22</v>
      </c>
      <c r="F788" s="30" t="s">
        <v>186</v>
      </c>
      <c r="G788" s="74">
        <f t="shared" si="63"/>
        <v>1627.7220399999999</v>
      </c>
      <c r="H788" s="74">
        <f>1209.475+365.261+52.98604</f>
        <v>1627.7220399999999</v>
      </c>
      <c r="I788" s="108"/>
    </row>
    <row r="789" spans="1:9" s="34" customFormat="1" ht="13.5">
      <c r="A789" s="325" t="s">
        <v>142</v>
      </c>
      <c r="B789" s="326"/>
      <c r="C789" s="326"/>
      <c r="D789" s="326"/>
      <c r="E789" s="326"/>
      <c r="F789" s="326"/>
      <c r="G789" s="82">
        <f>I789+H789</f>
        <v>718201.52893</v>
      </c>
      <c r="H789" s="82">
        <f>H12+H513+H529+H571+H776</f>
        <v>371102.6305</v>
      </c>
      <c r="I789" s="82">
        <f>I12+I513+I529+I571+I776</f>
        <v>347098.89843000006</v>
      </c>
    </row>
    <row r="790" spans="7:8" ht="13.5">
      <c r="G790" s="170"/>
      <c r="H790" s="171"/>
    </row>
    <row r="791" spans="7:9" ht="13.5">
      <c r="G791" s="73"/>
      <c r="H791" s="73"/>
      <c r="I791" s="73"/>
    </row>
    <row r="792" spans="7:9" ht="13.5">
      <c r="G792" s="73"/>
      <c r="H792" s="73"/>
      <c r="I792" s="73"/>
    </row>
    <row r="793" spans="7:9" ht="13.5">
      <c r="G793" s="73"/>
      <c r="H793" s="73"/>
      <c r="I793" s="73"/>
    </row>
    <row r="794" spans="5:9" ht="13.5">
      <c r="E794" s="227"/>
      <c r="G794" s="73"/>
      <c r="H794" s="73"/>
      <c r="I794" s="73"/>
    </row>
    <row r="795" ht="13.5">
      <c r="G795" s="327"/>
    </row>
    <row r="806" ht="13.5">
      <c r="J806" s="73"/>
    </row>
    <row r="807" spans="10:11" ht="13.5">
      <c r="J807" s="73"/>
      <c r="K807" s="73"/>
    </row>
    <row r="808" spans="10:11" ht="13.5">
      <c r="J808" s="73"/>
      <c r="K808" s="73"/>
    </row>
  </sheetData>
  <sheetProtection/>
  <mergeCells count="16">
    <mergeCell ref="A10:A11"/>
    <mergeCell ref="B10:B11"/>
    <mergeCell ref="C10:C11"/>
    <mergeCell ref="D10:D11"/>
    <mergeCell ref="E10:E11"/>
    <mergeCell ref="F10:F11"/>
    <mergeCell ref="G10:G11"/>
    <mergeCell ref="H10:I10"/>
    <mergeCell ref="G1:I1"/>
    <mergeCell ref="F2:I2"/>
    <mergeCell ref="B3:F3"/>
    <mergeCell ref="G3:I3"/>
    <mergeCell ref="B4:F4"/>
    <mergeCell ref="G4:I4"/>
    <mergeCell ref="A6:I6"/>
    <mergeCell ref="A7:I7"/>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K275"/>
  <sheetViews>
    <sheetView view="pageBreakPreview" zoomScale="90" zoomScaleSheetLayoutView="90" zoomScalePageLayoutView="0" workbookViewId="0" topLeftCell="A245">
      <selection activeCell="A245" sqref="A1:IV16384"/>
    </sheetView>
  </sheetViews>
  <sheetFormatPr defaultColWidth="8.625" defaultRowHeight="12.75"/>
  <cols>
    <col min="1" max="1" width="73.625" style="298" customWidth="1"/>
    <col min="2" max="2" width="6.625" style="21" customWidth="1"/>
    <col min="3" max="3" width="18.50390625" style="234" customWidth="1"/>
    <col min="4" max="4" width="16.125" style="73" customWidth="1"/>
    <col min="5" max="6" width="16.50390625" style="21" customWidth="1"/>
    <col min="7" max="7" width="18.625" style="21" customWidth="1"/>
    <col min="8" max="8" width="16.875" style="21" customWidth="1"/>
    <col min="9" max="9" width="16.00390625" style="21" customWidth="1"/>
    <col min="10" max="10" width="13.875" style="21" bestFit="1" customWidth="1"/>
    <col min="11" max="11" width="11.00390625" style="21" bestFit="1" customWidth="1"/>
    <col min="12" max="16384" width="8.625" style="21" customWidth="1"/>
  </cols>
  <sheetData>
    <row r="1" spans="1:4" ht="13.5">
      <c r="A1" s="281" t="s">
        <v>892</v>
      </c>
      <c r="B1" s="281"/>
      <c r="C1" s="281"/>
      <c r="D1" s="281"/>
    </row>
    <row r="2" spans="1:4" ht="13.5">
      <c r="A2" s="281" t="s">
        <v>394</v>
      </c>
      <c r="B2" s="281"/>
      <c r="C2" s="281"/>
      <c r="D2" s="281"/>
    </row>
    <row r="3" spans="1:4" ht="13.5">
      <c r="A3" s="281" t="s">
        <v>432</v>
      </c>
      <c r="B3" s="281"/>
      <c r="C3" s="281"/>
      <c r="D3" s="281"/>
    </row>
    <row r="4" spans="1:4" ht="13.5">
      <c r="A4" s="282" t="s">
        <v>996</v>
      </c>
      <c r="B4" s="282"/>
      <c r="C4" s="282"/>
      <c r="D4" s="282"/>
    </row>
    <row r="5" spans="1:2" ht="5.25" customHeight="1">
      <c r="A5" s="232"/>
      <c r="B5" s="233"/>
    </row>
    <row r="6" spans="1:4" ht="60.75" customHeight="1">
      <c r="A6" s="284" t="s">
        <v>748</v>
      </c>
      <c r="B6" s="284"/>
      <c r="C6" s="284"/>
      <c r="D6" s="284"/>
    </row>
    <row r="7" spans="1:4" ht="3.75" customHeight="1">
      <c r="A7" s="228"/>
      <c r="B7" s="228"/>
      <c r="C7" s="228"/>
      <c r="D7" s="235"/>
    </row>
    <row r="8" spans="1:4" ht="13.5">
      <c r="A8" s="232"/>
      <c r="B8" s="236"/>
      <c r="C8" s="237"/>
      <c r="D8" s="328" t="s">
        <v>139</v>
      </c>
    </row>
    <row r="9" spans="1:5" ht="39.75" customHeight="1">
      <c r="A9" s="10" t="s">
        <v>336</v>
      </c>
      <c r="B9" s="10" t="s">
        <v>284</v>
      </c>
      <c r="C9" s="10" t="s">
        <v>338</v>
      </c>
      <c r="D9" s="74" t="s">
        <v>881</v>
      </c>
      <c r="E9" s="73"/>
    </row>
    <row r="10" spans="1:4" ht="10.5" customHeight="1">
      <c r="A10" s="10">
        <v>1</v>
      </c>
      <c r="B10" s="10">
        <v>2</v>
      </c>
      <c r="C10" s="10">
        <v>3</v>
      </c>
      <c r="D10" s="329">
        <v>4</v>
      </c>
    </row>
    <row r="11" spans="1:4" s="32" customFormat="1" ht="18.75" customHeight="1">
      <c r="A11" s="286" t="s">
        <v>126</v>
      </c>
      <c r="B11" s="286"/>
      <c r="C11" s="286"/>
      <c r="D11" s="286"/>
    </row>
    <row r="12" spans="1:6" ht="35.25" customHeight="1">
      <c r="A12" s="68" t="s">
        <v>462</v>
      </c>
      <c r="B12" s="75" t="s">
        <v>398</v>
      </c>
      <c r="C12" s="75" t="s">
        <v>35</v>
      </c>
      <c r="D12" s="82">
        <f>D13+D34+D42+D45+D62+D67+D70+D73+D64+D75</f>
        <v>507222.10145</v>
      </c>
      <c r="E12" s="73"/>
      <c r="F12" s="73"/>
    </row>
    <row r="13" spans="1:7" s="92" customFormat="1" ht="30" customHeight="1">
      <c r="A13" s="45" t="s">
        <v>287</v>
      </c>
      <c r="B13" s="63" t="s">
        <v>401</v>
      </c>
      <c r="C13" s="63" t="s">
        <v>53</v>
      </c>
      <c r="D13" s="83">
        <f>D14+D15+D19+D22+D25+D26+D29+D30+D31+D32+D33+D18+D24</f>
        <v>338619.61389000004</v>
      </c>
      <c r="E13" s="330"/>
      <c r="F13" s="330"/>
      <c r="G13" s="330"/>
    </row>
    <row r="14" spans="1:8" s="32" customFormat="1" ht="16.5" customHeight="1">
      <c r="A14" s="14" t="s">
        <v>246</v>
      </c>
      <c r="B14" s="17" t="s">
        <v>401</v>
      </c>
      <c r="C14" s="17" t="s">
        <v>55</v>
      </c>
      <c r="D14" s="74">
        <f>500+200+50+370+60+110+40+95.044</f>
        <v>1425.044</v>
      </c>
      <c r="E14" s="120"/>
      <c r="F14" s="331"/>
      <c r="G14" s="251"/>
      <c r="H14" s="120"/>
    </row>
    <row r="15" spans="1:4" s="32" customFormat="1" ht="40.5" customHeight="1" hidden="1">
      <c r="A15" s="45" t="s">
        <v>553</v>
      </c>
      <c r="B15" s="63" t="s">
        <v>401</v>
      </c>
      <c r="C15" s="63" t="s">
        <v>554</v>
      </c>
      <c r="D15" s="83">
        <f>D16+D17</f>
        <v>0</v>
      </c>
    </row>
    <row r="16" spans="1:4" s="32" customFormat="1" ht="62.25" customHeight="1" hidden="1">
      <c r="A16" s="14" t="s">
        <v>597</v>
      </c>
      <c r="B16" s="17" t="s">
        <v>401</v>
      </c>
      <c r="C16" s="17" t="s">
        <v>555</v>
      </c>
      <c r="D16" s="74"/>
    </row>
    <row r="17" spans="1:4" s="32" customFormat="1" ht="41.25" customHeight="1" hidden="1">
      <c r="A17" s="14" t="s">
        <v>657</v>
      </c>
      <c r="B17" s="17" t="s">
        <v>401</v>
      </c>
      <c r="C17" s="17" t="s">
        <v>648</v>
      </c>
      <c r="D17" s="74"/>
    </row>
    <row r="18" spans="1:6" s="32" customFormat="1" ht="29.25" customHeight="1">
      <c r="A18" s="14" t="s">
        <v>766</v>
      </c>
      <c r="B18" s="17" t="s">
        <v>401</v>
      </c>
      <c r="C18" s="17" t="s">
        <v>765</v>
      </c>
      <c r="D18" s="74">
        <v>457</v>
      </c>
      <c r="E18" s="21"/>
      <c r="F18" s="120"/>
    </row>
    <row r="19" spans="1:7" s="32" customFormat="1" ht="43.5" customHeight="1" hidden="1">
      <c r="A19" s="64" t="s">
        <v>629</v>
      </c>
      <c r="B19" s="17" t="s">
        <v>797</v>
      </c>
      <c r="C19" s="76"/>
      <c r="D19" s="77">
        <f>D20+D21</f>
        <v>0</v>
      </c>
      <c r="G19" s="120"/>
    </row>
    <row r="20" spans="1:7" s="32" customFormat="1" ht="46.5" customHeight="1" hidden="1">
      <c r="A20" s="14" t="s">
        <v>630</v>
      </c>
      <c r="B20" s="17" t="s">
        <v>798</v>
      </c>
      <c r="C20" s="17" t="s">
        <v>647</v>
      </c>
      <c r="D20" s="74"/>
      <c r="E20" s="120"/>
      <c r="G20" s="120"/>
    </row>
    <row r="21" spans="1:7" s="32" customFormat="1" ht="55.5" customHeight="1" hidden="1">
      <c r="A21" s="14" t="s">
        <v>631</v>
      </c>
      <c r="B21" s="17" t="s">
        <v>400</v>
      </c>
      <c r="C21" s="17" t="s">
        <v>692</v>
      </c>
      <c r="D21" s="74"/>
      <c r="G21" s="120"/>
    </row>
    <row r="22" spans="1:4" s="32" customFormat="1" ht="71.25" customHeight="1" hidden="1">
      <c r="A22" s="14" t="s">
        <v>631</v>
      </c>
      <c r="B22" s="17" t="s">
        <v>799</v>
      </c>
      <c r="C22" s="17" t="s">
        <v>648</v>
      </c>
      <c r="D22" s="74"/>
    </row>
    <row r="23" spans="1:6" s="32" customFormat="1" ht="30.75" customHeight="1">
      <c r="A23" s="68" t="s">
        <v>844</v>
      </c>
      <c r="B23" s="75" t="s">
        <v>401</v>
      </c>
      <c r="C23" s="75"/>
      <c r="D23" s="82">
        <f>D24+D25</f>
        <v>9486.719899999998</v>
      </c>
      <c r="E23" s="120"/>
      <c r="F23" s="120"/>
    </row>
    <row r="24" spans="1:8" s="32" customFormat="1" ht="30" customHeight="1">
      <c r="A24" s="14" t="s">
        <v>827</v>
      </c>
      <c r="B24" s="17" t="s">
        <v>401</v>
      </c>
      <c r="C24" s="17" t="s">
        <v>828</v>
      </c>
      <c r="D24" s="74">
        <f>11729.4507-1794.60596-542.99205</f>
        <v>9391.852689999998</v>
      </c>
      <c r="F24" s="120"/>
      <c r="G24" s="120"/>
      <c r="H24" s="120"/>
    </row>
    <row r="25" spans="1:4" s="32" customFormat="1" ht="45" customHeight="1">
      <c r="A25" s="14" t="s">
        <v>741</v>
      </c>
      <c r="B25" s="17" t="s">
        <v>401</v>
      </c>
      <c r="C25" s="17" t="s">
        <v>742</v>
      </c>
      <c r="D25" s="74">
        <f>118.5+300+1.39065+7.3-289.05627-43.26717</f>
        <v>94.86721000000003</v>
      </c>
    </row>
    <row r="26" spans="1:4" ht="41.25" customHeight="1">
      <c r="A26" s="68" t="s">
        <v>940</v>
      </c>
      <c r="B26" s="75" t="s">
        <v>401</v>
      </c>
      <c r="C26" s="75" t="s">
        <v>56</v>
      </c>
      <c r="D26" s="82">
        <f>D27+D28</f>
        <v>114783.03999000002</v>
      </c>
    </row>
    <row r="27" spans="1:4" ht="46.5" customHeight="1">
      <c r="A27" s="14" t="s">
        <v>941</v>
      </c>
      <c r="B27" s="17" t="s">
        <v>401</v>
      </c>
      <c r="C27" s="17" t="s">
        <v>56</v>
      </c>
      <c r="D27" s="74">
        <f>87617.981-240-881.116-100+1061.26+900+133+2.3+3300+165+320+511+2915.69134+180+3789.59665-906.08</f>
        <v>98768.63299000001</v>
      </c>
    </row>
    <row r="28" spans="1:4" ht="47.25" customHeight="1">
      <c r="A28" s="14" t="s">
        <v>942</v>
      </c>
      <c r="B28" s="17" t="s">
        <v>401</v>
      </c>
      <c r="C28" s="17" t="s">
        <v>56</v>
      </c>
      <c r="D28" s="74">
        <f>2126.427+6827.9+4034+2120+906.08</f>
        <v>16014.407</v>
      </c>
    </row>
    <row r="29" spans="1:5" ht="42" customHeight="1">
      <c r="A29" s="14" t="s">
        <v>114</v>
      </c>
      <c r="B29" s="17" t="s">
        <v>401</v>
      </c>
      <c r="C29" s="17" t="s">
        <v>67</v>
      </c>
      <c r="D29" s="74">
        <f>166876.77+5728.312</f>
        <v>172605.082</v>
      </c>
      <c r="E29" s="73"/>
    </row>
    <row r="30" spans="1:4" ht="30" customHeight="1">
      <c r="A30" s="14" t="s">
        <v>598</v>
      </c>
      <c r="B30" s="17" t="s">
        <v>401</v>
      </c>
      <c r="C30" s="17" t="s">
        <v>557</v>
      </c>
      <c r="D30" s="74">
        <f>7825.95+1000</f>
        <v>8825.95</v>
      </c>
    </row>
    <row r="31" spans="1:4" ht="48" customHeight="1">
      <c r="A31" s="14" t="s">
        <v>570</v>
      </c>
      <c r="B31" s="17" t="s">
        <v>401</v>
      </c>
      <c r="C31" s="17" t="s">
        <v>804</v>
      </c>
      <c r="D31" s="74">
        <f>1130-298.622</f>
        <v>831.3779999999999</v>
      </c>
    </row>
    <row r="32" spans="1:4" ht="44.25" customHeight="1">
      <c r="A32" s="14" t="s">
        <v>729</v>
      </c>
      <c r="B32" s="17" t="s">
        <v>401</v>
      </c>
      <c r="C32" s="17" t="s">
        <v>930</v>
      </c>
      <c r="D32" s="74">
        <v>10900.4</v>
      </c>
    </row>
    <row r="33" spans="1:4" ht="42.75" customHeight="1">
      <c r="A33" s="14" t="s">
        <v>724</v>
      </c>
      <c r="B33" s="17" t="s">
        <v>401</v>
      </c>
      <c r="C33" s="17" t="s">
        <v>730</v>
      </c>
      <c r="D33" s="74">
        <v>19305</v>
      </c>
    </row>
    <row r="34" spans="1:6" s="92" customFormat="1" ht="33" customHeight="1">
      <c r="A34" s="45" t="s">
        <v>288</v>
      </c>
      <c r="B34" s="63" t="s">
        <v>401</v>
      </c>
      <c r="C34" s="63" t="s">
        <v>48</v>
      </c>
      <c r="D34" s="83">
        <f>D35+D36+D37+D40+D41</f>
        <v>90391.777</v>
      </c>
      <c r="F34" s="330"/>
    </row>
    <row r="35" spans="1:7" ht="24.75" customHeight="1">
      <c r="A35" s="14" t="s">
        <v>289</v>
      </c>
      <c r="B35" s="17" t="s">
        <v>401</v>
      </c>
      <c r="C35" s="17" t="s">
        <v>49</v>
      </c>
      <c r="D35" s="74">
        <f>200+100+40+40</f>
        <v>380</v>
      </c>
      <c r="F35" s="73"/>
      <c r="G35" s="73"/>
    </row>
    <row r="36" spans="1:8" ht="33" customHeight="1">
      <c r="A36" s="14" t="s">
        <v>771</v>
      </c>
      <c r="B36" s="17" t="s">
        <v>401</v>
      </c>
      <c r="C36" s="17" t="s">
        <v>767</v>
      </c>
      <c r="D36" s="74">
        <v>163</v>
      </c>
      <c r="F36" s="73"/>
      <c r="G36" s="73"/>
      <c r="H36" s="73"/>
    </row>
    <row r="37" spans="1:5" ht="59.25" customHeight="1">
      <c r="A37" s="68" t="s">
        <v>943</v>
      </c>
      <c r="B37" s="75" t="s">
        <v>401</v>
      </c>
      <c r="C37" s="75" t="s">
        <v>51</v>
      </c>
      <c r="D37" s="82">
        <f>D38+D39</f>
        <v>41939.393000000004</v>
      </c>
      <c r="E37" s="33"/>
    </row>
    <row r="38" spans="1:5" ht="59.25" customHeight="1">
      <c r="A38" s="14" t="s">
        <v>944</v>
      </c>
      <c r="B38" s="17" t="s">
        <v>401</v>
      </c>
      <c r="C38" s="17" t="s">
        <v>51</v>
      </c>
      <c r="D38" s="74">
        <f>32552.606+1610.705+450+1092.409+769+1200+115+365+1528+54</f>
        <v>39736.72</v>
      </c>
      <c r="E38" s="33"/>
    </row>
    <row r="39" spans="1:5" ht="59.25" customHeight="1">
      <c r="A39" s="14" t="s">
        <v>945</v>
      </c>
      <c r="B39" s="17" t="s">
        <v>401</v>
      </c>
      <c r="C39" s="17" t="s">
        <v>51</v>
      </c>
      <c r="D39" s="74">
        <f>2033+169.673</f>
        <v>2202.673</v>
      </c>
      <c r="E39" s="33"/>
    </row>
    <row r="40" spans="1:5" ht="45" customHeight="1">
      <c r="A40" s="14" t="s">
        <v>115</v>
      </c>
      <c r="B40" s="17" t="s">
        <v>401</v>
      </c>
      <c r="C40" s="17" t="s">
        <v>52</v>
      </c>
      <c r="D40" s="74">
        <f>41476.941+1939.41</f>
        <v>43416.351</v>
      </c>
      <c r="E40" s="33"/>
    </row>
    <row r="41" spans="1:5" ht="58.5" customHeight="1">
      <c r="A41" s="14" t="s">
        <v>116</v>
      </c>
      <c r="B41" s="17" t="s">
        <v>401</v>
      </c>
      <c r="C41" s="17" t="s">
        <v>94</v>
      </c>
      <c r="D41" s="74">
        <f>5493.033-1000</f>
        <v>4493.033</v>
      </c>
      <c r="E41" s="33"/>
    </row>
    <row r="42" spans="1:4" s="92" customFormat="1" ht="16.5" customHeight="1">
      <c r="A42" s="45" t="s">
        <v>290</v>
      </c>
      <c r="B42" s="63" t="s">
        <v>401</v>
      </c>
      <c r="C42" s="63" t="s">
        <v>57</v>
      </c>
      <c r="D42" s="83">
        <f>D43+D44</f>
        <v>1884.5</v>
      </c>
    </row>
    <row r="43" spans="1:4" ht="16.5" customHeight="1">
      <c r="A43" s="14" t="s">
        <v>252</v>
      </c>
      <c r="B43" s="17" t="s">
        <v>401</v>
      </c>
      <c r="C43" s="17" t="s">
        <v>59</v>
      </c>
      <c r="D43" s="74">
        <v>250</v>
      </c>
    </row>
    <row r="44" spans="1:7" ht="18.75" customHeight="1">
      <c r="A44" s="14" t="s">
        <v>247</v>
      </c>
      <c r="B44" s="17" t="s">
        <v>401</v>
      </c>
      <c r="C44" s="17" t="s">
        <v>60</v>
      </c>
      <c r="D44" s="74">
        <f>1503+31.5+100</f>
        <v>1634.5</v>
      </c>
      <c r="F44" s="73"/>
      <c r="G44" s="73"/>
    </row>
    <row r="45" spans="1:6" s="92" customFormat="1" ht="17.25" customHeight="1">
      <c r="A45" s="45" t="s">
        <v>291</v>
      </c>
      <c r="B45" s="63" t="s">
        <v>401</v>
      </c>
      <c r="C45" s="63" t="s">
        <v>61</v>
      </c>
      <c r="D45" s="83">
        <f>D47+D48+D49+D52+D60+D61</f>
        <v>26665.035</v>
      </c>
      <c r="F45" s="330"/>
    </row>
    <row r="46" spans="1:4" ht="19.5" customHeight="1" hidden="1">
      <c r="A46" s="14" t="s">
        <v>780</v>
      </c>
      <c r="B46" s="17" t="s">
        <v>177</v>
      </c>
      <c r="C46" s="17" t="s">
        <v>781</v>
      </c>
      <c r="D46" s="74"/>
    </row>
    <row r="47" spans="1:4" ht="29.25" customHeight="1">
      <c r="A47" s="14" t="s">
        <v>780</v>
      </c>
      <c r="B47" s="17" t="s">
        <v>401</v>
      </c>
      <c r="C47" s="17" t="s">
        <v>781</v>
      </c>
      <c r="D47" s="74">
        <v>80</v>
      </c>
    </row>
    <row r="48" spans="1:7" ht="28.5" customHeight="1">
      <c r="A48" s="14" t="s">
        <v>893</v>
      </c>
      <c r="B48" s="17" t="s">
        <v>401</v>
      </c>
      <c r="C48" s="30" t="s">
        <v>768</v>
      </c>
      <c r="D48" s="74">
        <v>80</v>
      </c>
      <c r="F48" s="73"/>
      <c r="G48" s="241"/>
    </row>
    <row r="49" spans="1:4" ht="20.25" customHeight="1">
      <c r="A49" s="68" t="s">
        <v>902</v>
      </c>
      <c r="B49" s="75" t="s">
        <v>401</v>
      </c>
      <c r="C49" s="69" t="s">
        <v>63</v>
      </c>
      <c r="D49" s="82">
        <f>D50+D51</f>
        <v>9419.23014</v>
      </c>
    </row>
    <row r="50" spans="1:4" ht="20.25" customHeight="1">
      <c r="A50" s="14" t="s">
        <v>972</v>
      </c>
      <c r="B50" s="17" t="s">
        <v>401</v>
      </c>
      <c r="C50" s="30" t="s">
        <v>63</v>
      </c>
      <c r="D50" s="74">
        <f>6939.203-405.024+20+78.527+405.024-344.2705+471.4+230+74.37064</f>
        <v>7469.230140000001</v>
      </c>
    </row>
    <row r="51" spans="1:4" ht="20.25" customHeight="1">
      <c r="A51" s="14" t="s">
        <v>973</v>
      </c>
      <c r="B51" s="17" t="s">
        <v>401</v>
      </c>
      <c r="C51" s="30" t="s">
        <v>63</v>
      </c>
      <c r="D51" s="74">
        <f>700+1250</f>
        <v>1950</v>
      </c>
    </row>
    <row r="52" spans="1:7" ht="32.25" customHeight="1">
      <c r="A52" s="68" t="s">
        <v>788</v>
      </c>
      <c r="B52" s="75" t="s">
        <v>401</v>
      </c>
      <c r="C52" s="69" t="s">
        <v>64</v>
      </c>
      <c r="D52" s="82">
        <f>D58+D59</f>
        <v>15743.026119999999</v>
      </c>
      <c r="F52" s="73"/>
      <c r="G52" s="73"/>
    </row>
    <row r="53" spans="1:5" ht="21" customHeight="1" hidden="1">
      <c r="A53" s="14" t="s">
        <v>240</v>
      </c>
      <c r="B53" s="17" t="s">
        <v>177</v>
      </c>
      <c r="C53" s="17" t="s">
        <v>65</v>
      </c>
      <c r="D53" s="74"/>
      <c r="E53" s="33"/>
    </row>
    <row r="54" spans="1:6" ht="21" customHeight="1" hidden="1">
      <c r="A54" s="14" t="s">
        <v>241</v>
      </c>
      <c r="B54" s="17" t="s">
        <v>177</v>
      </c>
      <c r="C54" s="17" t="s">
        <v>66</v>
      </c>
      <c r="D54" s="74"/>
      <c r="E54" s="33"/>
      <c r="F54" s="73"/>
    </row>
    <row r="55" spans="1:5" ht="31.5" customHeight="1" hidden="1">
      <c r="A55" s="64" t="s">
        <v>632</v>
      </c>
      <c r="B55" s="76" t="s">
        <v>401</v>
      </c>
      <c r="C55" s="17" t="s">
        <v>781</v>
      </c>
      <c r="D55" s="77"/>
      <c r="E55" s="33"/>
    </row>
    <row r="56" spans="1:5" ht="42" customHeight="1" hidden="1">
      <c r="A56" s="14" t="s">
        <v>633</v>
      </c>
      <c r="B56" s="17" t="s">
        <v>401</v>
      </c>
      <c r="C56" s="17" t="s">
        <v>789</v>
      </c>
      <c r="D56" s="74"/>
      <c r="E56" s="73"/>
    </row>
    <row r="57" spans="1:5" ht="59.25" customHeight="1" hidden="1">
      <c r="A57" s="14" t="s">
        <v>634</v>
      </c>
      <c r="B57" s="17" t="s">
        <v>401</v>
      </c>
      <c r="C57" s="17" t="s">
        <v>790</v>
      </c>
      <c r="D57" s="74"/>
      <c r="E57" s="73"/>
    </row>
    <row r="58" spans="1:5" ht="34.5" customHeight="1">
      <c r="A58" s="14" t="s">
        <v>974</v>
      </c>
      <c r="B58" s="17" t="s">
        <v>401</v>
      </c>
      <c r="C58" s="30" t="s">
        <v>64</v>
      </c>
      <c r="D58" s="74">
        <f>13957.675-410.087+222.8+410.087-470.8405+92.29162+840</f>
        <v>14641.926119999998</v>
      </c>
      <c r="E58" s="73"/>
    </row>
    <row r="59" spans="1:5" ht="33" customHeight="1">
      <c r="A59" s="14" t="s">
        <v>975</v>
      </c>
      <c r="B59" s="17" t="s">
        <v>401</v>
      </c>
      <c r="C59" s="30" t="s">
        <v>64</v>
      </c>
      <c r="D59" s="74">
        <f>451.1+650</f>
        <v>1101.1</v>
      </c>
      <c r="E59" s="73"/>
    </row>
    <row r="60" spans="1:5" ht="38.25" customHeight="1">
      <c r="A60" s="14" t="s">
        <v>947</v>
      </c>
      <c r="B60" s="17" t="s">
        <v>401</v>
      </c>
      <c r="C60" s="17" t="s">
        <v>938</v>
      </c>
      <c r="D60" s="74">
        <f>470.8405+344.2705-92.29162-74.37064</f>
        <v>648.4487400000002</v>
      </c>
      <c r="E60" s="73"/>
    </row>
    <row r="61" spans="1:5" ht="45" customHeight="1">
      <c r="A61" s="14" t="s">
        <v>803</v>
      </c>
      <c r="B61" s="17" t="s">
        <v>401</v>
      </c>
      <c r="C61" s="17" t="s">
        <v>789</v>
      </c>
      <c r="D61" s="74">
        <v>694.33</v>
      </c>
      <c r="E61" s="73"/>
    </row>
    <row r="62" spans="1:4" s="92" customFormat="1" ht="17.25" customHeight="1">
      <c r="A62" s="45" t="s">
        <v>292</v>
      </c>
      <c r="B62" s="63" t="s">
        <v>401</v>
      </c>
      <c r="C62" s="63" t="s">
        <v>68</v>
      </c>
      <c r="D62" s="83">
        <f>D63</f>
        <v>70</v>
      </c>
    </row>
    <row r="63" spans="1:7" s="34" customFormat="1" ht="17.25" customHeight="1">
      <c r="A63" s="14" t="s">
        <v>740</v>
      </c>
      <c r="B63" s="17" t="s">
        <v>401</v>
      </c>
      <c r="C63" s="17" t="s">
        <v>69</v>
      </c>
      <c r="D63" s="74">
        <f>50+20</f>
        <v>70</v>
      </c>
      <c r="F63" s="80"/>
      <c r="G63" s="80"/>
    </row>
    <row r="64" spans="1:4" s="92" customFormat="1" ht="17.25" customHeight="1">
      <c r="A64" s="45" t="s">
        <v>444</v>
      </c>
      <c r="B64" s="63" t="s">
        <v>401</v>
      </c>
      <c r="C64" s="63" t="s">
        <v>70</v>
      </c>
      <c r="D64" s="83">
        <f>D65+D66</f>
        <v>1914.1213</v>
      </c>
    </row>
    <row r="65" spans="1:7" s="34" customFormat="1" ht="45" customHeight="1">
      <c r="A65" s="14" t="s">
        <v>690</v>
      </c>
      <c r="B65" s="17" t="s">
        <v>401</v>
      </c>
      <c r="C65" s="17" t="s">
        <v>71</v>
      </c>
      <c r="D65" s="109">
        <v>1914.1213</v>
      </c>
      <c r="F65" s="80"/>
      <c r="G65" s="80"/>
    </row>
    <row r="66" spans="1:4" s="34" customFormat="1" ht="32.25" customHeight="1" hidden="1">
      <c r="A66" s="14" t="s">
        <v>787</v>
      </c>
      <c r="B66" s="17" t="s">
        <v>401</v>
      </c>
      <c r="C66" s="17" t="s">
        <v>786</v>
      </c>
      <c r="D66" s="74"/>
    </row>
    <row r="67" spans="1:4" s="92" customFormat="1" ht="18.75" customHeight="1">
      <c r="A67" s="45" t="s">
        <v>293</v>
      </c>
      <c r="B67" s="63" t="s">
        <v>401</v>
      </c>
      <c r="C67" s="63" t="s">
        <v>72</v>
      </c>
      <c r="D67" s="83">
        <f>D68+D69</f>
        <v>47444.054260000004</v>
      </c>
    </row>
    <row r="68" spans="1:7" ht="31.5" customHeight="1">
      <c r="A68" s="14" t="s">
        <v>179</v>
      </c>
      <c r="B68" s="17" t="s">
        <v>401</v>
      </c>
      <c r="C68" s="17" t="s">
        <v>73</v>
      </c>
      <c r="D68" s="74">
        <f>44823.425-300-95.044+500+150-312.224+663.39+289.47958-230.48425-15.72816+17.8</f>
        <v>45490.61417</v>
      </c>
      <c r="F68" s="73"/>
      <c r="G68" s="73"/>
    </row>
    <row r="69" spans="1:5" ht="42" customHeight="1">
      <c r="A69" s="14" t="s">
        <v>516</v>
      </c>
      <c r="B69" s="17" t="s">
        <v>401</v>
      </c>
      <c r="C69" s="17" t="s">
        <v>73</v>
      </c>
      <c r="D69" s="74">
        <f>975.2+766.189+30+361.497-114.03218-35.41373-30</f>
        <v>1953.44009</v>
      </c>
      <c r="E69" s="73"/>
    </row>
    <row r="70" spans="1:4" s="92" customFormat="1" ht="17.25" customHeight="1">
      <c r="A70" s="45" t="s">
        <v>956</v>
      </c>
      <c r="B70" s="63" t="s">
        <v>177</v>
      </c>
      <c r="C70" s="63" t="s">
        <v>36</v>
      </c>
      <c r="D70" s="83">
        <f>D71+D72</f>
        <v>150</v>
      </c>
    </row>
    <row r="71" spans="1:4" s="32" customFormat="1" ht="15.75" customHeight="1">
      <c r="A71" s="14" t="s">
        <v>390</v>
      </c>
      <c r="B71" s="10">
        <v>951</v>
      </c>
      <c r="C71" s="17" t="s">
        <v>39</v>
      </c>
      <c r="D71" s="74">
        <v>111</v>
      </c>
    </row>
    <row r="72" spans="1:8" s="34" customFormat="1" ht="15.75" customHeight="1">
      <c r="A72" s="14" t="s">
        <v>330</v>
      </c>
      <c r="B72" s="10">
        <v>951</v>
      </c>
      <c r="C72" s="17" t="s">
        <v>88</v>
      </c>
      <c r="D72" s="74">
        <v>39</v>
      </c>
      <c r="F72" s="80"/>
      <c r="H72" s="80"/>
    </row>
    <row r="73" spans="1:4" s="92" customFormat="1" ht="17.25" customHeight="1">
      <c r="A73" s="45" t="s">
        <v>459</v>
      </c>
      <c r="B73" s="63" t="s">
        <v>177</v>
      </c>
      <c r="C73" s="63" t="s">
        <v>41</v>
      </c>
      <c r="D73" s="83">
        <f>D74</f>
        <v>83</v>
      </c>
    </row>
    <row r="74" spans="1:8" ht="18" customHeight="1">
      <c r="A74" s="14" t="s">
        <v>319</v>
      </c>
      <c r="B74" s="17" t="s">
        <v>177</v>
      </c>
      <c r="C74" s="17" t="s">
        <v>650</v>
      </c>
      <c r="D74" s="74">
        <v>83</v>
      </c>
      <c r="E74" s="42"/>
      <c r="F74" s="73"/>
      <c r="H74" s="73"/>
    </row>
    <row r="75" spans="1:5" ht="47.25" customHeight="1" hidden="1">
      <c r="A75" s="45" t="s">
        <v>479</v>
      </c>
      <c r="B75" s="63" t="s">
        <v>401</v>
      </c>
      <c r="C75" s="63" t="s">
        <v>53</v>
      </c>
      <c r="D75" s="83">
        <f>D76</f>
        <v>0</v>
      </c>
      <c r="E75" s="42"/>
    </row>
    <row r="76" spans="1:5" ht="29.25" customHeight="1" hidden="1">
      <c r="A76" s="14" t="s">
        <v>480</v>
      </c>
      <c r="B76" s="17" t="s">
        <v>401</v>
      </c>
      <c r="C76" s="17" t="s">
        <v>54</v>
      </c>
      <c r="D76" s="74">
        <v>0</v>
      </c>
      <c r="E76" s="42"/>
    </row>
    <row r="77" spans="1:9" ht="49.5" customHeight="1">
      <c r="A77" s="68" t="s">
        <v>463</v>
      </c>
      <c r="B77" s="75" t="s">
        <v>398</v>
      </c>
      <c r="C77" s="75" t="s">
        <v>75</v>
      </c>
      <c r="D77" s="82">
        <f>D78+D79+D80</f>
        <v>891.05</v>
      </c>
      <c r="F77" s="73"/>
      <c r="G77" s="73"/>
      <c r="H77" s="73"/>
      <c r="I77" s="73"/>
    </row>
    <row r="78" spans="1:4" ht="14.25" customHeight="1">
      <c r="A78" s="14" t="s">
        <v>119</v>
      </c>
      <c r="B78" s="17" t="s">
        <v>401</v>
      </c>
      <c r="C78" s="17" t="s">
        <v>77</v>
      </c>
      <c r="D78" s="74">
        <f>320+3+18+150+47.9</f>
        <v>538.9</v>
      </c>
    </row>
    <row r="79" spans="1:4" ht="15" customHeight="1">
      <c r="A79" s="14" t="s">
        <v>176</v>
      </c>
      <c r="B79" s="17" t="s">
        <v>401</v>
      </c>
      <c r="C79" s="17" t="s">
        <v>78</v>
      </c>
      <c r="D79" s="74">
        <f>280+68.15</f>
        <v>348.15</v>
      </c>
    </row>
    <row r="80" spans="1:4" ht="15" customHeight="1">
      <c r="A80" s="14" t="s">
        <v>329</v>
      </c>
      <c r="B80" s="17" t="s">
        <v>177</v>
      </c>
      <c r="C80" s="17" t="s">
        <v>89</v>
      </c>
      <c r="D80" s="74">
        <v>4</v>
      </c>
    </row>
    <row r="81" spans="1:5" s="78" customFormat="1" ht="48" customHeight="1" hidden="1">
      <c r="A81" s="91" t="s">
        <v>420</v>
      </c>
      <c r="B81" s="75" t="s">
        <v>177</v>
      </c>
      <c r="C81" s="69" t="s">
        <v>34</v>
      </c>
      <c r="D81" s="82">
        <f>D82+D83</f>
        <v>0</v>
      </c>
      <c r="E81" s="332"/>
    </row>
    <row r="82" spans="1:4" s="32" customFormat="1" ht="48.75" customHeight="1" hidden="1">
      <c r="A82" s="85" t="s">
        <v>117</v>
      </c>
      <c r="B82" s="17" t="s">
        <v>177</v>
      </c>
      <c r="C82" s="30" t="s">
        <v>446</v>
      </c>
      <c r="D82" s="74"/>
    </row>
    <row r="83" spans="1:4" ht="48.75" customHeight="1" hidden="1">
      <c r="A83" s="14" t="s">
        <v>118</v>
      </c>
      <c r="B83" s="17" t="s">
        <v>177</v>
      </c>
      <c r="C83" s="30" t="s">
        <v>103</v>
      </c>
      <c r="D83" s="74"/>
    </row>
    <row r="84" spans="1:7" s="34" customFormat="1" ht="33.75" customHeight="1">
      <c r="A84" s="68" t="s">
        <v>464</v>
      </c>
      <c r="B84" s="75" t="s">
        <v>398</v>
      </c>
      <c r="C84" s="75" t="s">
        <v>42</v>
      </c>
      <c r="D84" s="82">
        <f>SUM(D85:D90)</f>
        <v>889.7</v>
      </c>
      <c r="F84" s="80"/>
      <c r="G84" s="80"/>
    </row>
    <row r="85" spans="1:4" s="34" customFormat="1" ht="15" customHeight="1">
      <c r="A85" s="14" t="s">
        <v>120</v>
      </c>
      <c r="B85" s="17" t="s">
        <v>401</v>
      </c>
      <c r="C85" s="17" t="s">
        <v>79</v>
      </c>
      <c r="D85" s="74">
        <v>10</v>
      </c>
    </row>
    <row r="86" spans="1:4" s="34" customFormat="1" ht="15" customHeight="1">
      <c r="A86" s="14" t="s">
        <v>779</v>
      </c>
      <c r="B86" s="17" t="s">
        <v>401</v>
      </c>
      <c r="C86" s="17" t="s">
        <v>79</v>
      </c>
      <c r="D86" s="74">
        <f>50+120+135-10+406</f>
        <v>701</v>
      </c>
    </row>
    <row r="87" spans="1:4" s="34" customFormat="1" ht="15" customHeight="1" hidden="1">
      <c r="A87" s="14" t="s">
        <v>660</v>
      </c>
      <c r="B87" s="17" t="s">
        <v>177</v>
      </c>
      <c r="C87" s="17" t="s">
        <v>44</v>
      </c>
      <c r="D87" s="74"/>
    </row>
    <row r="88" spans="1:4" s="34" customFormat="1" ht="15" customHeight="1">
      <c r="A88" s="14" t="s">
        <v>329</v>
      </c>
      <c r="B88" s="17" t="s">
        <v>177</v>
      </c>
      <c r="C88" s="17" t="s">
        <v>652</v>
      </c>
      <c r="D88" s="74">
        <v>20</v>
      </c>
    </row>
    <row r="89" spans="1:4" s="34" customFormat="1" ht="33" customHeight="1">
      <c r="A89" s="14" t="s">
        <v>821</v>
      </c>
      <c r="B89" s="17" t="s">
        <v>401</v>
      </c>
      <c r="C89" s="17" t="s">
        <v>819</v>
      </c>
      <c r="D89" s="74">
        <f>98.5+60.2</f>
        <v>158.7</v>
      </c>
    </row>
    <row r="90" spans="1:4" s="34" customFormat="1" ht="15" customHeight="1" hidden="1">
      <c r="A90" s="14" t="s">
        <v>820</v>
      </c>
      <c r="B90" s="17" t="s">
        <v>401</v>
      </c>
      <c r="C90" s="17"/>
      <c r="D90" s="74"/>
    </row>
    <row r="91" spans="1:6" s="34" customFormat="1" ht="32.25" customHeight="1">
      <c r="A91" s="68" t="s">
        <v>458</v>
      </c>
      <c r="B91" s="75" t="s">
        <v>398</v>
      </c>
      <c r="C91" s="75" t="s">
        <v>95</v>
      </c>
      <c r="D91" s="82">
        <f>D92+D96+D97+D104+D107+D110</f>
        <v>5428.28178</v>
      </c>
      <c r="E91" s="80"/>
      <c r="F91" s="80"/>
    </row>
    <row r="92" spans="1:8" s="34" customFormat="1" ht="15.75" customHeight="1">
      <c r="A92" s="14" t="s">
        <v>285</v>
      </c>
      <c r="B92" s="17" t="s">
        <v>177</v>
      </c>
      <c r="C92" s="17" t="s">
        <v>96</v>
      </c>
      <c r="D92" s="74">
        <f>150+64.141</f>
        <v>214.14100000000002</v>
      </c>
      <c r="E92" s="80"/>
      <c r="F92" s="80"/>
      <c r="G92" s="80"/>
      <c r="H92" s="80"/>
    </row>
    <row r="93" spans="1:4" s="34" customFormat="1" ht="46.5" customHeight="1" hidden="1">
      <c r="A93" s="68" t="s">
        <v>133</v>
      </c>
      <c r="B93" s="17" t="s">
        <v>599</v>
      </c>
      <c r="C93" s="17" t="s">
        <v>705</v>
      </c>
      <c r="D93" s="82">
        <f>D94</f>
        <v>0</v>
      </c>
    </row>
    <row r="94" spans="1:4" s="78" customFormat="1" ht="15" customHeight="1" hidden="1">
      <c r="A94" s="68" t="s">
        <v>314</v>
      </c>
      <c r="B94" s="17" t="s">
        <v>600</v>
      </c>
      <c r="C94" s="17" t="s">
        <v>706</v>
      </c>
      <c r="D94" s="82">
        <f>D95</f>
        <v>0</v>
      </c>
    </row>
    <row r="95" spans="1:4" s="34" customFormat="1" ht="60.75" customHeight="1" hidden="1">
      <c r="A95" s="14" t="s">
        <v>286</v>
      </c>
      <c r="B95" s="17" t="s">
        <v>601</v>
      </c>
      <c r="C95" s="17" t="s">
        <v>707</v>
      </c>
      <c r="D95" s="74">
        <v>0</v>
      </c>
    </row>
    <row r="96" spans="1:6" s="34" customFormat="1" ht="30.75" customHeight="1">
      <c r="A96" s="14" t="s">
        <v>708</v>
      </c>
      <c r="B96" s="17" t="s">
        <v>177</v>
      </c>
      <c r="C96" s="17" t="s">
        <v>704</v>
      </c>
      <c r="D96" s="74">
        <f>153+1846.892-123-28.25417</f>
        <v>1848.6378300000001</v>
      </c>
      <c r="E96" s="80"/>
      <c r="F96" s="80"/>
    </row>
    <row r="97" spans="1:5" s="34" customFormat="1" ht="33" customHeight="1">
      <c r="A97" s="64" t="s">
        <v>896</v>
      </c>
      <c r="B97" s="76" t="s">
        <v>177</v>
      </c>
      <c r="C97" s="62"/>
      <c r="D97" s="77">
        <f>SUM(D98:D103)</f>
        <v>2870.5078000000003</v>
      </c>
      <c r="E97" s="80"/>
    </row>
    <row r="98" spans="1:8" s="34" customFormat="1" ht="48" customHeight="1" hidden="1">
      <c r="A98" s="14" t="s">
        <v>602</v>
      </c>
      <c r="B98" s="17" t="s">
        <v>177</v>
      </c>
      <c r="C98" s="30" t="s">
        <v>576</v>
      </c>
      <c r="D98" s="74">
        <v>0</v>
      </c>
      <c r="E98" s="79"/>
      <c r="F98" s="80"/>
      <c r="H98" s="80"/>
    </row>
    <row r="99" spans="1:5" s="34" customFormat="1" ht="28.5" customHeight="1">
      <c r="A99" s="14" t="s">
        <v>897</v>
      </c>
      <c r="B99" s="17" t="s">
        <v>177</v>
      </c>
      <c r="C99" s="30" t="s">
        <v>829</v>
      </c>
      <c r="D99" s="74">
        <v>2841.80272</v>
      </c>
      <c r="E99" s="79"/>
    </row>
    <row r="100" spans="1:4" s="34" customFormat="1" ht="57.75" customHeight="1" hidden="1">
      <c r="A100" s="14" t="s">
        <v>676</v>
      </c>
      <c r="B100" s="17" t="s">
        <v>177</v>
      </c>
      <c r="C100" s="30" t="s">
        <v>578</v>
      </c>
      <c r="D100" s="74"/>
    </row>
    <row r="101" spans="1:4" s="34" customFormat="1" ht="18" customHeight="1" hidden="1">
      <c r="A101" s="14" t="s">
        <v>676</v>
      </c>
      <c r="B101" s="17" t="s">
        <v>401</v>
      </c>
      <c r="C101" s="30" t="s">
        <v>576</v>
      </c>
      <c r="D101" s="74"/>
    </row>
    <row r="102" spans="1:4" s="34" customFormat="1" ht="21" customHeight="1" hidden="1">
      <c r="A102" s="14" t="s">
        <v>677</v>
      </c>
      <c r="B102" s="17" t="s">
        <v>177</v>
      </c>
      <c r="C102" s="30" t="s">
        <v>578</v>
      </c>
      <c r="D102" s="74">
        <f>86+40-40-86</f>
        <v>0</v>
      </c>
    </row>
    <row r="103" spans="1:4" s="34" customFormat="1" ht="31.5" customHeight="1">
      <c r="A103" s="14" t="s">
        <v>898</v>
      </c>
      <c r="B103" s="17" t="s">
        <v>177</v>
      </c>
      <c r="C103" s="30" t="s">
        <v>829</v>
      </c>
      <c r="D103" s="74">
        <v>28.70508</v>
      </c>
    </row>
    <row r="104" spans="1:4" s="34" customFormat="1" ht="31.5" customHeight="1">
      <c r="A104" s="64" t="s">
        <v>675</v>
      </c>
      <c r="B104" s="76" t="s">
        <v>401</v>
      </c>
      <c r="C104" s="30"/>
      <c r="D104" s="77">
        <f>D105+D106</f>
        <v>144.99515</v>
      </c>
    </row>
    <row r="105" spans="1:4" s="34" customFormat="1" ht="17.25" customHeight="1">
      <c r="A105" s="14" t="s">
        <v>698</v>
      </c>
      <c r="B105" s="17" t="s">
        <v>401</v>
      </c>
      <c r="C105" s="30" t="s">
        <v>678</v>
      </c>
      <c r="D105" s="74">
        <f>70.291+73.2542</f>
        <v>143.5452</v>
      </c>
    </row>
    <row r="106" spans="1:4" s="34" customFormat="1" ht="17.25" customHeight="1">
      <c r="A106" s="14" t="s">
        <v>699</v>
      </c>
      <c r="B106" s="17" t="s">
        <v>401</v>
      </c>
      <c r="C106" s="30" t="s">
        <v>679</v>
      </c>
      <c r="D106" s="74">
        <f>1.40427+0.04568</f>
        <v>1.4499499999999999</v>
      </c>
    </row>
    <row r="107" spans="1:4" s="34" customFormat="1" ht="44.25" customHeight="1">
      <c r="A107" s="64" t="s">
        <v>888</v>
      </c>
      <c r="B107" s="76" t="s">
        <v>177</v>
      </c>
      <c r="C107" s="62"/>
      <c r="D107" s="77">
        <f>D108+D109</f>
        <v>350</v>
      </c>
    </row>
    <row r="108" spans="1:4" s="34" customFormat="1" ht="50.25" customHeight="1">
      <c r="A108" s="14" t="s">
        <v>890</v>
      </c>
      <c r="B108" s="17" t="s">
        <v>177</v>
      </c>
      <c r="C108" s="30" t="s">
        <v>830</v>
      </c>
      <c r="D108" s="74">
        <v>346.5</v>
      </c>
    </row>
    <row r="109" spans="1:4" s="34" customFormat="1" ht="57.75" customHeight="1">
      <c r="A109" s="14" t="s">
        <v>889</v>
      </c>
      <c r="B109" s="17" t="s">
        <v>177</v>
      </c>
      <c r="C109" s="30" t="s">
        <v>894</v>
      </c>
      <c r="D109" s="74">
        <v>3.5</v>
      </c>
    </row>
    <row r="110" spans="1:5" s="333" customFormat="1" ht="21" customHeight="1" hidden="1">
      <c r="A110" s="64" t="s">
        <v>895</v>
      </c>
      <c r="B110" s="76" t="s">
        <v>177</v>
      </c>
      <c r="C110" s="62"/>
      <c r="D110" s="77">
        <f>D111+D112</f>
        <v>0</v>
      </c>
      <c r="E110" s="34"/>
    </row>
    <row r="111" spans="1:4" s="34" customFormat="1" ht="35.25" customHeight="1" hidden="1">
      <c r="A111" s="14" t="s">
        <v>899</v>
      </c>
      <c r="B111" s="17" t="s">
        <v>177</v>
      </c>
      <c r="C111" s="30" t="s">
        <v>901</v>
      </c>
      <c r="D111" s="74">
        <v>0</v>
      </c>
    </row>
    <row r="112" spans="1:4" s="34" customFormat="1" ht="45" customHeight="1" hidden="1">
      <c r="A112" s="14" t="s">
        <v>900</v>
      </c>
      <c r="B112" s="17" t="s">
        <v>177</v>
      </c>
      <c r="C112" s="30" t="s">
        <v>909</v>
      </c>
      <c r="D112" s="74">
        <f>37.5-37.5</f>
        <v>0</v>
      </c>
    </row>
    <row r="113" spans="1:7" s="34" customFormat="1" ht="35.25" customHeight="1">
      <c r="A113" s="68" t="s">
        <v>749</v>
      </c>
      <c r="B113" s="75" t="s">
        <v>398</v>
      </c>
      <c r="C113" s="75" t="s">
        <v>91</v>
      </c>
      <c r="D113" s="82">
        <f>D114</f>
        <v>40</v>
      </c>
      <c r="F113" s="80"/>
      <c r="G113" s="80"/>
    </row>
    <row r="114" spans="1:4" s="78" customFormat="1" ht="28.5" customHeight="1">
      <c r="A114" s="14" t="s">
        <v>205</v>
      </c>
      <c r="B114" s="17" t="s">
        <v>177</v>
      </c>
      <c r="C114" s="17" t="s">
        <v>92</v>
      </c>
      <c r="D114" s="74">
        <f>200-160</f>
        <v>40</v>
      </c>
    </row>
    <row r="115" spans="1:6" s="78" customFormat="1" ht="32.25" customHeight="1">
      <c r="A115" s="68" t="s">
        <v>465</v>
      </c>
      <c r="B115" s="75" t="s">
        <v>398</v>
      </c>
      <c r="C115" s="69" t="s">
        <v>80</v>
      </c>
      <c r="D115" s="82">
        <f>D116+D126+D129+D135+D143+D150+D153+D132</f>
        <v>40117.506420000005</v>
      </c>
      <c r="E115" s="332"/>
      <c r="F115" s="332"/>
    </row>
    <row r="116" spans="1:8" s="34" customFormat="1" ht="37.5" customHeight="1">
      <c r="A116" s="64" t="s">
        <v>512</v>
      </c>
      <c r="B116" s="17" t="s">
        <v>177</v>
      </c>
      <c r="C116" s="62" t="s">
        <v>82</v>
      </c>
      <c r="D116" s="77">
        <f>D118+D121</f>
        <v>10241.373870000001</v>
      </c>
      <c r="E116" s="38"/>
      <c r="F116" s="80"/>
      <c r="H116" s="80"/>
    </row>
    <row r="117" spans="1:4" s="34" customFormat="1" ht="15" customHeight="1" hidden="1">
      <c r="A117" s="14" t="s">
        <v>216</v>
      </c>
      <c r="B117" s="17" t="s">
        <v>744</v>
      </c>
      <c r="C117" s="30" t="s">
        <v>217</v>
      </c>
      <c r="D117" s="74"/>
    </row>
    <row r="118" spans="1:8" s="34" customFormat="1" ht="15" customHeight="1">
      <c r="A118" s="68" t="s">
        <v>517</v>
      </c>
      <c r="B118" s="75" t="s">
        <v>177</v>
      </c>
      <c r="C118" s="69" t="s">
        <v>83</v>
      </c>
      <c r="D118" s="82">
        <f>D119+D120</f>
        <v>9161.930960000002</v>
      </c>
      <c r="E118" s="80"/>
      <c r="F118" s="80"/>
      <c r="G118" s="80"/>
      <c r="H118" s="80"/>
    </row>
    <row r="119" spans="1:8" s="34" customFormat="1" ht="15" customHeight="1">
      <c r="A119" s="14" t="s">
        <v>961</v>
      </c>
      <c r="B119" s="17" t="s">
        <v>177</v>
      </c>
      <c r="C119" s="30" t="s">
        <v>83</v>
      </c>
      <c r="D119" s="74">
        <f>8843.134-30.30303-0.00001+372-654.1</f>
        <v>8530.73096</v>
      </c>
      <c r="E119" s="80"/>
      <c r="F119" s="80"/>
      <c r="G119" s="80"/>
      <c r="H119" s="80"/>
    </row>
    <row r="120" spans="1:8" s="34" customFormat="1" ht="19.5" customHeight="1">
      <c r="A120" s="14" t="s">
        <v>962</v>
      </c>
      <c r="B120" s="17" t="s">
        <v>177</v>
      </c>
      <c r="C120" s="30" t="s">
        <v>83</v>
      </c>
      <c r="D120" s="74">
        <f>184.2+447</f>
        <v>631.2</v>
      </c>
      <c r="E120" s="80"/>
      <c r="F120" s="80"/>
      <c r="G120" s="80"/>
      <c r="H120" s="80"/>
    </row>
    <row r="121" spans="1:4" s="34" customFormat="1" ht="27" customHeight="1">
      <c r="A121" s="14" t="s">
        <v>121</v>
      </c>
      <c r="B121" s="17" t="s">
        <v>177</v>
      </c>
      <c r="C121" s="30" t="s">
        <v>101</v>
      </c>
      <c r="D121" s="74">
        <f>226.8+622.155+130+43.1+10.3+5.88791+41.2</f>
        <v>1079.44291</v>
      </c>
    </row>
    <row r="122" spans="1:5" s="34" customFormat="1" ht="33.75" customHeight="1" hidden="1">
      <c r="A122" s="45" t="s">
        <v>560</v>
      </c>
      <c r="B122" s="63" t="s">
        <v>177</v>
      </c>
      <c r="C122" s="49" t="s">
        <v>603</v>
      </c>
      <c r="D122" s="83">
        <f>D123+D124</f>
        <v>0</v>
      </c>
      <c r="E122" s="80"/>
    </row>
    <row r="123" spans="1:5" s="34" customFormat="1" ht="42.75" customHeight="1" hidden="1">
      <c r="A123" s="14" t="s">
        <v>561</v>
      </c>
      <c r="B123" s="17" t="s">
        <v>177</v>
      </c>
      <c r="C123" s="30" t="s">
        <v>562</v>
      </c>
      <c r="D123" s="74"/>
      <c r="E123" s="79"/>
    </row>
    <row r="124" spans="1:5" s="34" customFormat="1" ht="60" customHeight="1" hidden="1">
      <c r="A124" s="14" t="s">
        <v>604</v>
      </c>
      <c r="B124" s="17" t="s">
        <v>177</v>
      </c>
      <c r="C124" s="30" t="s">
        <v>563</v>
      </c>
      <c r="D124" s="74"/>
      <c r="E124" s="80"/>
    </row>
    <row r="125" spans="1:5" s="34" customFormat="1" ht="57" customHeight="1" hidden="1">
      <c r="A125" s="14" t="s">
        <v>720</v>
      </c>
      <c r="B125" s="17" t="s">
        <v>177</v>
      </c>
      <c r="C125" s="30" t="s">
        <v>743</v>
      </c>
      <c r="D125" s="74">
        <f>25-25</f>
        <v>0</v>
      </c>
      <c r="E125" s="80"/>
    </row>
    <row r="126" spans="1:5" s="34" customFormat="1" ht="31.5" customHeight="1">
      <c r="A126" s="64" t="s">
        <v>805</v>
      </c>
      <c r="B126" s="76" t="s">
        <v>177</v>
      </c>
      <c r="C126" s="62" t="s">
        <v>81</v>
      </c>
      <c r="D126" s="77">
        <f>D127+D128</f>
        <v>2498.58232</v>
      </c>
      <c r="E126" s="80"/>
    </row>
    <row r="127" spans="1:5" s="34" customFormat="1" ht="32.25" customHeight="1">
      <c r="A127" s="14" t="s">
        <v>806</v>
      </c>
      <c r="B127" s="17" t="s">
        <v>177</v>
      </c>
      <c r="C127" s="30" t="s">
        <v>808</v>
      </c>
      <c r="D127" s="74">
        <v>2473.58232</v>
      </c>
      <c r="E127" s="80"/>
    </row>
    <row r="128" spans="1:5" s="34" customFormat="1" ht="45.75" customHeight="1">
      <c r="A128" s="14" t="s">
        <v>807</v>
      </c>
      <c r="B128" s="17" t="s">
        <v>177</v>
      </c>
      <c r="C128" s="30" t="s">
        <v>809</v>
      </c>
      <c r="D128" s="74">
        <v>25</v>
      </c>
      <c r="E128" s="80"/>
    </row>
    <row r="129" spans="1:5" s="34" customFormat="1" ht="33" customHeight="1">
      <c r="A129" s="64" t="s">
        <v>920</v>
      </c>
      <c r="B129" s="76" t="s">
        <v>177</v>
      </c>
      <c r="C129" s="62" t="s">
        <v>81</v>
      </c>
      <c r="D129" s="77">
        <f>D130+D131</f>
        <v>3016.8768</v>
      </c>
      <c r="E129" s="80"/>
    </row>
    <row r="130" spans="1:5" s="34" customFormat="1" ht="45.75" customHeight="1">
      <c r="A130" s="14" t="s">
        <v>917</v>
      </c>
      <c r="B130" s="17" t="s">
        <v>177</v>
      </c>
      <c r="C130" s="30" t="s">
        <v>919</v>
      </c>
      <c r="D130" s="74">
        <f>3000-13.29197</f>
        <v>2986.70803</v>
      </c>
      <c r="E130" s="80"/>
    </row>
    <row r="131" spans="1:5" s="34" customFormat="1" ht="45.75" customHeight="1">
      <c r="A131" s="14" t="s">
        <v>918</v>
      </c>
      <c r="B131" s="17" t="s">
        <v>177</v>
      </c>
      <c r="C131" s="30" t="s">
        <v>960</v>
      </c>
      <c r="D131" s="74">
        <f>30.30303-0.13426</f>
        <v>30.16877</v>
      </c>
      <c r="E131" s="80"/>
    </row>
    <row r="132" spans="1:5" s="34" customFormat="1" ht="40.5" customHeight="1">
      <c r="A132" s="64" t="s">
        <v>931</v>
      </c>
      <c r="B132" s="76" t="s">
        <v>177</v>
      </c>
      <c r="C132" s="62" t="s">
        <v>80</v>
      </c>
      <c r="D132" s="77">
        <f>D133+D134</f>
        <v>102.06142999999999</v>
      </c>
      <c r="E132" s="80"/>
    </row>
    <row r="133" spans="1:5" s="34" customFormat="1" ht="44.25" customHeight="1">
      <c r="A133" s="14" t="s">
        <v>937</v>
      </c>
      <c r="B133" s="17" t="s">
        <v>177</v>
      </c>
      <c r="C133" s="30" t="s">
        <v>939</v>
      </c>
      <c r="D133" s="74">
        <v>102.04081</v>
      </c>
      <c r="E133" s="80"/>
    </row>
    <row r="134" spans="1:5" s="34" customFormat="1" ht="59.25" customHeight="1">
      <c r="A134" s="14" t="s">
        <v>932</v>
      </c>
      <c r="B134" s="17" t="s">
        <v>177</v>
      </c>
      <c r="C134" s="30" t="s">
        <v>939</v>
      </c>
      <c r="D134" s="74">
        <f>0.02061+0.00001</f>
        <v>0.02062</v>
      </c>
      <c r="E134" s="80"/>
    </row>
    <row r="135" spans="1:7" s="34" customFormat="1" ht="44.25" customHeight="1">
      <c r="A135" s="64" t="s">
        <v>513</v>
      </c>
      <c r="B135" s="76" t="s">
        <v>177</v>
      </c>
      <c r="C135" s="62" t="s">
        <v>84</v>
      </c>
      <c r="D135" s="77">
        <f>D137+D138</f>
        <v>3829.87</v>
      </c>
      <c r="F135" s="80"/>
      <c r="G135" s="80"/>
    </row>
    <row r="136" spans="1:4" s="34" customFormat="1" ht="15" customHeight="1" hidden="1">
      <c r="A136" s="14" t="s">
        <v>218</v>
      </c>
      <c r="B136" s="17" t="s">
        <v>177</v>
      </c>
      <c r="C136" s="30" t="s">
        <v>219</v>
      </c>
      <c r="D136" s="74"/>
    </row>
    <row r="137" spans="1:7" s="34" customFormat="1" ht="15" customHeight="1">
      <c r="A137" s="68" t="s">
        <v>963</v>
      </c>
      <c r="B137" s="75" t="s">
        <v>177</v>
      </c>
      <c r="C137" s="69" t="s">
        <v>84</v>
      </c>
      <c r="D137" s="82">
        <f>D141+D142</f>
        <v>3829.87</v>
      </c>
      <c r="G137" s="80"/>
    </row>
    <row r="138" spans="1:5" s="34" customFormat="1" ht="30" customHeight="1" hidden="1">
      <c r="A138" s="14" t="s">
        <v>964</v>
      </c>
      <c r="B138" s="17" t="s">
        <v>177</v>
      </c>
      <c r="C138" s="30" t="s">
        <v>84</v>
      </c>
      <c r="D138" s="83">
        <f>D139+D140</f>
        <v>0</v>
      </c>
      <c r="E138" s="80"/>
    </row>
    <row r="139" spans="1:5" s="34" customFormat="1" ht="44.25" customHeight="1" hidden="1">
      <c r="A139" s="14" t="s">
        <v>965</v>
      </c>
      <c r="B139" s="17" t="s">
        <v>177</v>
      </c>
      <c r="C139" s="30" t="s">
        <v>84</v>
      </c>
      <c r="D139" s="74"/>
      <c r="E139" s="79"/>
    </row>
    <row r="140" spans="1:5" s="34" customFormat="1" ht="54" customHeight="1" hidden="1">
      <c r="A140" s="68" t="s">
        <v>963</v>
      </c>
      <c r="B140" s="75" t="s">
        <v>177</v>
      </c>
      <c r="C140" s="69" t="s">
        <v>84</v>
      </c>
      <c r="D140" s="74"/>
      <c r="E140" s="80"/>
    </row>
    <row r="141" spans="1:5" s="34" customFormat="1" ht="18" customHeight="1">
      <c r="A141" s="14" t="s">
        <v>964</v>
      </c>
      <c r="B141" s="17" t="s">
        <v>177</v>
      </c>
      <c r="C141" s="30" t="s">
        <v>84</v>
      </c>
      <c r="D141" s="74">
        <f>2946.87+306.5</f>
        <v>3253.37</v>
      </c>
      <c r="E141" s="80"/>
    </row>
    <row r="142" spans="1:5" s="34" customFormat="1" ht="20.25" customHeight="1">
      <c r="A142" s="14" t="s">
        <v>965</v>
      </c>
      <c r="B142" s="17" t="s">
        <v>177</v>
      </c>
      <c r="C142" s="30" t="s">
        <v>84</v>
      </c>
      <c r="D142" s="74">
        <f>126.7+449.8</f>
        <v>576.5</v>
      </c>
      <c r="E142" s="80"/>
    </row>
    <row r="143" spans="1:7" s="34" customFormat="1" ht="60.75" customHeight="1">
      <c r="A143" s="64" t="s">
        <v>514</v>
      </c>
      <c r="B143" s="76" t="s">
        <v>177</v>
      </c>
      <c r="C143" s="62" t="s">
        <v>85</v>
      </c>
      <c r="D143" s="77">
        <f>D144</f>
        <v>2064.587</v>
      </c>
      <c r="F143" s="80"/>
      <c r="G143" s="80"/>
    </row>
    <row r="144" spans="1:4" s="34" customFormat="1" ht="16.5" customHeight="1">
      <c r="A144" s="68" t="s">
        <v>966</v>
      </c>
      <c r="B144" s="75" t="s">
        <v>177</v>
      </c>
      <c r="C144" s="69" t="s">
        <v>85</v>
      </c>
      <c r="D144" s="82">
        <f>D148+D149</f>
        <v>2064.587</v>
      </c>
    </row>
    <row r="145" spans="1:5" ht="42" customHeight="1" hidden="1">
      <c r="A145" s="14" t="s">
        <v>966</v>
      </c>
      <c r="B145" s="17" t="s">
        <v>177</v>
      </c>
      <c r="C145" s="30" t="s">
        <v>85</v>
      </c>
      <c r="D145" s="77">
        <f>D146+D147</f>
        <v>0</v>
      </c>
      <c r="E145" s="33"/>
    </row>
    <row r="146" spans="1:5" ht="44.25" customHeight="1" hidden="1">
      <c r="A146" s="14" t="s">
        <v>966</v>
      </c>
      <c r="B146" s="17" t="s">
        <v>177</v>
      </c>
      <c r="C146" s="30" t="s">
        <v>85</v>
      </c>
      <c r="D146" s="74"/>
      <c r="E146" s="33"/>
    </row>
    <row r="147" spans="1:5" ht="54" customHeight="1" hidden="1">
      <c r="A147" s="14" t="s">
        <v>966</v>
      </c>
      <c r="B147" s="17" t="s">
        <v>177</v>
      </c>
      <c r="C147" s="30" t="s">
        <v>85</v>
      </c>
      <c r="D147" s="74"/>
      <c r="E147" s="33"/>
    </row>
    <row r="148" spans="1:5" ht="18.75" customHeight="1">
      <c r="A148" s="14" t="s">
        <v>967</v>
      </c>
      <c r="B148" s="17" t="s">
        <v>177</v>
      </c>
      <c r="C148" s="30" t="s">
        <v>85</v>
      </c>
      <c r="D148" s="74">
        <f>1659.887+93.7</f>
        <v>1753.587</v>
      </c>
      <c r="E148" s="33"/>
    </row>
    <row r="149" spans="1:5" ht="18" customHeight="1">
      <c r="A149" s="14" t="s">
        <v>968</v>
      </c>
      <c r="B149" s="17" t="s">
        <v>177</v>
      </c>
      <c r="C149" s="30" t="s">
        <v>85</v>
      </c>
      <c r="D149" s="74">
        <f>71.2+239.8</f>
        <v>311</v>
      </c>
      <c r="E149" s="33"/>
    </row>
    <row r="150" spans="1:5" s="34" customFormat="1" ht="19.5" customHeight="1">
      <c r="A150" s="64" t="s">
        <v>518</v>
      </c>
      <c r="B150" s="76" t="s">
        <v>177</v>
      </c>
      <c r="C150" s="62" t="s">
        <v>849</v>
      </c>
      <c r="D150" s="77">
        <f>D151+D152</f>
        <v>1700.2850000000003</v>
      </c>
      <c r="E150" s="80"/>
    </row>
    <row r="151" spans="1:4" s="34" customFormat="1" ht="33" customHeight="1">
      <c r="A151" s="14" t="s">
        <v>969</v>
      </c>
      <c r="B151" s="17" t="s">
        <v>177</v>
      </c>
      <c r="C151" s="30" t="s">
        <v>86</v>
      </c>
      <c r="D151" s="74">
        <f>1134.785+253.9</f>
        <v>1388.6850000000002</v>
      </c>
    </row>
    <row r="152" spans="1:4" s="34" customFormat="1" ht="33" customHeight="1">
      <c r="A152" s="14" t="s">
        <v>970</v>
      </c>
      <c r="B152" s="17" t="s">
        <v>177</v>
      </c>
      <c r="C152" s="30" t="s">
        <v>86</v>
      </c>
      <c r="D152" s="74">
        <f>71.5+240.1</f>
        <v>311.6</v>
      </c>
    </row>
    <row r="153" spans="1:4" s="34" customFormat="1" ht="32.25" customHeight="1">
      <c r="A153" s="64" t="s">
        <v>846</v>
      </c>
      <c r="B153" s="76" t="s">
        <v>177</v>
      </c>
      <c r="C153" s="62" t="s">
        <v>971</v>
      </c>
      <c r="D153" s="77">
        <f>D154+D157</f>
        <v>16663.87</v>
      </c>
    </row>
    <row r="154" spans="1:7" s="34" customFormat="1" ht="38.25" customHeight="1">
      <c r="A154" s="64" t="s">
        <v>882</v>
      </c>
      <c r="B154" s="76" t="s">
        <v>177</v>
      </c>
      <c r="C154" s="62" t="s">
        <v>847</v>
      </c>
      <c r="D154" s="77">
        <f>D155+D156</f>
        <v>11011.815999999999</v>
      </c>
      <c r="F154" s="80"/>
      <c r="G154" s="80"/>
    </row>
    <row r="155" spans="1:4" s="34" customFormat="1" ht="24.75" customHeight="1">
      <c r="A155" s="14" t="s">
        <v>991</v>
      </c>
      <c r="B155" s="17" t="s">
        <v>177</v>
      </c>
      <c r="C155" s="30" t="s">
        <v>847</v>
      </c>
      <c r="D155" s="74">
        <f>9282.416+273.3+710+198.5</f>
        <v>10464.215999999999</v>
      </c>
    </row>
    <row r="156" spans="1:4" s="34" customFormat="1" ht="24.75" customHeight="1">
      <c r="A156" s="14" t="s">
        <v>992</v>
      </c>
      <c r="B156" s="17" t="s">
        <v>177</v>
      </c>
      <c r="C156" s="30" t="s">
        <v>847</v>
      </c>
      <c r="D156" s="74">
        <f>547.6</f>
        <v>547.6</v>
      </c>
    </row>
    <row r="157" spans="1:9" s="34" customFormat="1" ht="32.25" customHeight="1">
      <c r="A157" s="64" t="s">
        <v>882</v>
      </c>
      <c r="B157" s="76" t="s">
        <v>177</v>
      </c>
      <c r="C157" s="62" t="s">
        <v>848</v>
      </c>
      <c r="D157" s="77">
        <f>D158+D165</f>
        <v>5652.054</v>
      </c>
      <c r="F157" s="80"/>
      <c r="G157" s="80"/>
      <c r="H157" s="80"/>
      <c r="I157" s="80"/>
    </row>
    <row r="158" spans="1:4" s="34" customFormat="1" ht="24.75" customHeight="1">
      <c r="A158" s="14" t="s">
        <v>989</v>
      </c>
      <c r="B158" s="17" t="s">
        <v>177</v>
      </c>
      <c r="C158" s="30" t="s">
        <v>848</v>
      </c>
      <c r="D158" s="74">
        <f>4030.554+196.5+305</f>
        <v>4532.054</v>
      </c>
    </row>
    <row r="159" spans="1:4" s="34" customFormat="1" ht="33" customHeight="1" hidden="1">
      <c r="A159" s="14" t="s">
        <v>989</v>
      </c>
      <c r="B159" s="17" t="s">
        <v>177</v>
      </c>
      <c r="C159" s="30" t="s">
        <v>848</v>
      </c>
      <c r="D159" s="82">
        <f>D160+D161+D164</f>
        <v>0</v>
      </c>
    </row>
    <row r="160" spans="1:4" s="34" customFormat="1" ht="17.25" customHeight="1" hidden="1">
      <c r="A160" s="14" t="s">
        <v>989</v>
      </c>
      <c r="B160" s="17" t="s">
        <v>177</v>
      </c>
      <c r="C160" s="30" t="s">
        <v>848</v>
      </c>
      <c r="D160" s="74">
        <v>0</v>
      </c>
    </row>
    <row r="161" spans="1:4" s="34" customFormat="1" ht="19.5" customHeight="1" hidden="1">
      <c r="A161" s="14" t="s">
        <v>989</v>
      </c>
      <c r="B161" s="17" t="s">
        <v>177</v>
      </c>
      <c r="C161" s="30" t="s">
        <v>848</v>
      </c>
      <c r="D161" s="74"/>
    </row>
    <row r="162" spans="1:4" s="34" customFormat="1" ht="19.5" customHeight="1" hidden="1">
      <c r="A162" s="14" t="s">
        <v>989</v>
      </c>
      <c r="B162" s="17" t="s">
        <v>177</v>
      </c>
      <c r="C162" s="30" t="s">
        <v>848</v>
      </c>
      <c r="D162" s="74"/>
    </row>
    <row r="163" spans="1:4" s="34" customFormat="1" ht="19.5" customHeight="1" hidden="1">
      <c r="A163" s="14" t="s">
        <v>989</v>
      </c>
      <c r="B163" s="17" t="s">
        <v>177</v>
      </c>
      <c r="C163" s="30" t="s">
        <v>848</v>
      </c>
      <c r="D163" s="74"/>
    </row>
    <row r="164" spans="1:4" s="34" customFormat="1" ht="12" customHeight="1" hidden="1">
      <c r="A164" s="14" t="s">
        <v>989</v>
      </c>
      <c r="B164" s="17" t="s">
        <v>177</v>
      </c>
      <c r="C164" s="30" t="s">
        <v>848</v>
      </c>
      <c r="D164" s="74"/>
    </row>
    <row r="165" spans="1:4" s="34" customFormat="1" ht="27.75" customHeight="1">
      <c r="A165" s="14" t="s">
        <v>990</v>
      </c>
      <c r="B165" s="17" t="s">
        <v>177</v>
      </c>
      <c r="C165" s="30" t="s">
        <v>848</v>
      </c>
      <c r="D165" s="74">
        <f>1120</f>
        <v>1120</v>
      </c>
    </row>
    <row r="166" spans="1:4" s="34" customFormat="1" ht="45" customHeight="1">
      <c r="A166" s="68" t="s">
        <v>460</v>
      </c>
      <c r="B166" s="75" t="s">
        <v>398</v>
      </c>
      <c r="C166" s="75" t="s">
        <v>448</v>
      </c>
      <c r="D166" s="82">
        <f>D167</f>
        <v>13.120419999999996</v>
      </c>
    </row>
    <row r="167" spans="1:7" s="34" customFormat="1" ht="30" customHeight="1">
      <c r="A167" s="14" t="s">
        <v>668</v>
      </c>
      <c r="B167" s="76" t="s">
        <v>177</v>
      </c>
      <c r="C167" s="30" t="s">
        <v>449</v>
      </c>
      <c r="D167" s="74">
        <f>200-186.87958</f>
        <v>13.120419999999996</v>
      </c>
      <c r="F167" s="80"/>
      <c r="G167" s="80"/>
    </row>
    <row r="168" spans="1:7" s="34" customFormat="1" ht="62.25" customHeight="1">
      <c r="A168" s="68" t="s">
        <v>474</v>
      </c>
      <c r="B168" s="75" t="s">
        <v>398</v>
      </c>
      <c r="C168" s="75" t="s">
        <v>450</v>
      </c>
      <c r="D168" s="82">
        <f>SUM(D169:D177)</f>
        <v>43947.23383</v>
      </c>
      <c r="E168" s="41"/>
      <c r="F168" s="80"/>
      <c r="G168" s="80"/>
    </row>
    <row r="169" spans="1:5" s="34" customFormat="1" ht="30.75" customHeight="1">
      <c r="A169" s="14" t="s">
        <v>47</v>
      </c>
      <c r="B169" s="17" t="s">
        <v>177</v>
      </c>
      <c r="C169" s="30" t="s">
        <v>471</v>
      </c>
      <c r="D169" s="74">
        <f>2300+420-1499.615-5</f>
        <v>1215.385</v>
      </c>
      <c r="E169" s="41"/>
    </row>
    <row r="170" spans="1:5" s="34" customFormat="1" ht="29.25" customHeight="1" hidden="1">
      <c r="A170" s="14" t="s">
        <v>47</v>
      </c>
      <c r="B170" s="17" t="s">
        <v>745</v>
      </c>
      <c r="C170" s="30" t="s">
        <v>473</v>
      </c>
      <c r="D170" s="74"/>
      <c r="E170" s="41"/>
    </row>
    <row r="171" spans="1:5" s="34" customFormat="1" ht="31.5" customHeight="1">
      <c r="A171" s="14" t="s">
        <v>982</v>
      </c>
      <c r="B171" s="17" t="s">
        <v>177</v>
      </c>
      <c r="C171" s="30" t="s">
        <v>471</v>
      </c>
      <c r="D171" s="74">
        <v>5</v>
      </c>
      <c r="E171" s="41"/>
    </row>
    <row r="172" spans="1:5" s="34" customFormat="1" ht="18" customHeight="1">
      <c r="A172" s="14" t="s">
        <v>370</v>
      </c>
      <c r="B172" s="17" t="s">
        <v>177</v>
      </c>
      <c r="C172" s="30" t="s">
        <v>473</v>
      </c>
      <c r="D172" s="74">
        <f>4386-202.0202+8726.84883-4700+391.0685+14.38831</f>
        <v>8616.28544</v>
      </c>
      <c r="E172" s="41"/>
    </row>
    <row r="173" spans="1:5" s="34" customFormat="1" ht="15" customHeight="1">
      <c r="A173" s="37" t="s">
        <v>988</v>
      </c>
      <c r="B173" s="17" t="s">
        <v>177</v>
      </c>
      <c r="C173" s="30" t="s">
        <v>472</v>
      </c>
      <c r="D173" s="74">
        <f>9614-391.0685</f>
        <v>9222.9315</v>
      </c>
      <c r="E173" s="41"/>
    </row>
    <row r="174" spans="1:5" s="34" customFormat="1" ht="45.75" customHeight="1">
      <c r="A174" s="37" t="s">
        <v>490</v>
      </c>
      <c r="B174" s="17" t="s">
        <v>177</v>
      </c>
      <c r="C174" s="30" t="s">
        <v>491</v>
      </c>
      <c r="D174" s="74">
        <f>4700-14.38831</f>
        <v>4685.61169</v>
      </c>
      <c r="E174" s="41"/>
    </row>
    <row r="175" spans="1:5" s="34" customFormat="1" ht="45.75" customHeight="1" hidden="1">
      <c r="A175" s="37" t="s">
        <v>494</v>
      </c>
      <c r="B175" s="17" t="s">
        <v>746</v>
      </c>
      <c r="C175" s="30" t="s">
        <v>495</v>
      </c>
      <c r="D175" s="74"/>
      <c r="E175" s="41"/>
    </row>
    <row r="176" spans="1:5" s="34" customFormat="1" ht="30.75" customHeight="1">
      <c r="A176" s="37" t="s">
        <v>696</v>
      </c>
      <c r="B176" s="17" t="s">
        <v>177</v>
      </c>
      <c r="C176" s="30" t="s">
        <v>674</v>
      </c>
      <c r="D176" s="74">
        <v>20000</v>
      </c>
      <c r="E176" s="41"/>
    </row>
    <row r="177" spans="1:5" s="34" customFormat="1" ht="42.75" customHeight="1">
      <c r="A177" s="37" t="s">
        <v>697</v>
      </c>
      <c r="B177" s="17" t="s">
        <v>177</v>
      </c>
      <c r="C177" s="30" t="s">
        <v>695</v>
      </c>
      <c r="D177" s="74">
        <v>202.0202</v>
      </c>
      <c r="E177" s="41"/>
    </row>
    <row r="178" spans="1:7" s="34" customFormat="1" ht="45.75" customHeight="1">
      <c r="A178" s="68" t="s">
        <v>835</v>
      </c>
      <c r="B178" s="75" t="s">
        <v>398</v>
      </c>
      <c r="C178" s="75" t="s">
        <v>503</v>
      </c>
      <c r="D178" s="82">
        <f>SUM(D179:D182)</f>
        <v>560</v>
      </c>
      <c r="E178" s="41"/>
      <c r="F178" s="80"/>
      <c r="G178" s="80"/>
    </row>
    <row r="179" spans="1:5" s="34" customFormat="1" ht="17.25" customHeight="1">
      <c r="A179" s="14" t="s">
        <v>777</v>
      </c>
      <c r="B179" s="17" t="s">
        <v>401</v>
      </c>
      <c r="C179" s="30" t="s">
        <v>504</v>
      </c>
      <c r="D179" s="74">
        <f>60+200+30-23.1</f>
        <v>266.9</v>
      </c>
      <c r="E179" s="41"/>
    </row>
    <row r="180" spans="1:5" s="34" customFormat="1" ht="31.5" customHeight="1" hidden="1">
      <c r="A180" s="14" t="s">
        <v>776</v>
      </c>
      <c r="B180" s="17" t="s">
        <v>177</v>
      </c>
      <c r="C180" s="30" t="s">
        <v>628</v>
      </c>
      <c r="D180" s="74"/>
      <c r="E180" s="41"/>
    </row>
    <row r="181" spans="1:5" s="34" customFormat="1" ht="16.5" customHeight="1" hidden="1">
      <c r="A181" s="14" t="s">
        <v>778</v>
      </c>
      <c r="B181" s="17" t="s">
        <v>177</v>
      </c>
      <c r="C181" s="30" t="s">
        <v>775</v>
      </c>
      <c r="D181" s="74"/>
      <c r="E181" s="41"/>
    </row>
    <row r="182" spans="1:5" s="34" customFormat="1" ht="16.5" customHeight="1">
      <c r="A182" s="14" t="s">
        <v>784</v>
      </c>
      <c r="B182" s="17" t="s">
        <v>401</v>
      </c>
      <c r="C182" s="30" t="s">
        <v>785</v>
      </c>
      <c r="D182" s="74">
        <f>270+23.1</f>
        <v>293.1</v>
      </c>
      <c r="E182" s="41"/>
    </row>
    <row r="183" spans="1:5" s="34" customFormat="1" ht="45.75" customHeight="1">
      <c r="A183" s="68" t="s">
        <v>836</v>
      </c>
      <c r="B183" s="75" t="s">
        <v>398</v>
      </c>
      <c r="C183" s="75" t="s">
        <v>506</v>
      </c>
      <c r="D183" s="82">
        <f>SUM(D184:D189)</f>
        <v>21770.25924</v>
      </c>
      <c r="E183" s="41"/>
    </row>
    <row r="184" spans="1:5" s="34" customFormat="1" ht="33" customHeight="1" hidden="1">
      <c r="A184" s="14" t="s">
        <v>509</v>
      </c>
      <c r="B184" s="17" t="s">
        <v>747</v>
      </c>
      <c r="C184" s="30" t="s">
        <v>502</v>
      </c>
      <c r="D184" s="74">
        <v>0</v>
      </c>
      <c r="E184" s="41"/>
    </row>
    <row r="185" spans="1:6" s="34" customFormat="1" ht="15" customHeight="1">
      <c r="A185" s="37" t="s">
        <v>228</v>
      </c>
      <c r="B185" s="17" t="s">
        <v>177</v>
      </c>
      <c r="C185" s="30" t="s">
        <v>501</v>
      </c>
      <c r="D185" s="74">
        <f>155+345-40-378</f>
        <v>82</v>
      </c>
      <c r="E185" s="41"/>
      <c r="F185" s="80"/>
    </row>
    <row r="186" spans="1:8" s="34" customFormat="1" ht="57.75" customHeight="1">
      <c r="A186" s="37" t="s">
        <v>511</v>
      </c>
      <c r="B186" s="17" t="s">
        <v>402</v>
      </c>
      <c r="C186" s="30" t="s">
        <v>498</v>
      </c>
      <c r="D186" s="74">
        <v>11100.912</v>
      </c>
      <c r="E186" s="41"/>
      <c r="F186" s="80"/>
      <c r="G186" s="80"/>
      <c r="H186" s="80"/>
    </row>
    <row r="187" spans="1:5" s="34" customFormat="1" ht="31.5" customHeight="1">
      <c r="A187" s="37" t="s">
        <v>305</v>
      </c>
      <c r="B187" s="17" t="s">
        <v>402</v>
      </c>
      <c r="C187" s="30" t="s">
        <v>499</v>
      </c>
      <c r="D187" s="74">
        <f>5000+115.364+1300</f>
        <v>6415.364</v>
      </c>
      <c r="E187" s="41"/>
    </row>
    <row r="188" spans="1:5" s="34" customFormat="1" ht="30.75" customHeight="1">
      <c r="A188" s="37" t="s">
        <v>624</v>
      </c>
      <c r="B188" s="17" t="s">
        <v>402</v>
      </c>
      <c r="C188" s="30" t="s">
        <v>500</v>
      </c>
      <c r="D188" s="74">
        <f>1100-50-30+800+759.89+556-12.30676</f>
        <v>3123.58324</v>
      </c>
      <c r="E188" s="41"/>
    </row>
    <row r="189" spans="1:5" s="34" customFormat="1" ht="57" customHeight="1">
      <c r="A189" s="37" t="s">
        <v>977</v>
      </c>
      <c r="B189" s="17" t="s">
        <v>402</v>
      </c>
      <c r="C189" s="30" t="s">
        <v>976</v>
      </c>
      <c r="D189" s="74">
        <f>284.9+763.5</f>
        <v>1048.4</v>
      </c>
      <c r="E189" s="41"/>
    </row>
    <row r="190" spans="1:6" s="34" customFormat="1" ht="33.75" customHeight="1">
      <c r="A190" s="71" t="s">
        <v>750</v>
      </c>
      <c r="B190" s="75" t="s">
        <v>398</v>
      </c>
      <c r="C190" s="69" t="s">
        <v>534</v>
      </c>
      <c r="D190" s="82">
        <f>D191</f>
        <v>15</v>
      </c>
      <c r="E190" s="41"/>
      <c r="F190" s="80"/>
    </row>
    <row r="191" spans="1:5" s="34" customFormat="1" ht="28.5" customHeight="1">
      <c r="A191" s="37" t="s">
        <v>535</v>
      </c>
      <c r="B191" s="17" t="s">
        <v>177</v>
      </c>
      <c r="C191" s="30" t="s">
        <v>536</v>
      </c>
      <c r="D191" s="74">
        <f>D192</f>
        <v>15</v>
      </c>
      <c r="E191" s="41"/>
    </row>
    <row r="192" spans="1:5" s="34" customFormat="1" ht="16.5" customHeight="1">
      <c r="A192" s="37" t="s">
        <v>589</v>
      </c>
      <c r="B192" s="17" t="s">
        <v>177</v>
      </c>
      <c r="C192" s="30" t="s">
        <v>538</v>
      </c>
      <c r="D192" s="74">
        <v>15</v>
      </c>
      <c r="E192" s="41"/>
    </row>
    <row r="193" spans="1:6" s="34" customFormat="1" ht="44.25" customHeight="1" hidden="1">
      <c r="A193" s="68" t="s">
        <v>822</v>
      </c>
      <c r="B193" s="75" t="s">
        <v>398</v>
      </c>
      <c r="C193" s="75" t="s">
        <v>545</v>
      </c>
      <c r="D193" s="82">
        <f>D194+D195</f>
        <v>0</v>
      </c>
      <c r="E193" s="41"/>
      <c r="F193" s="80"/>
    </row>
    <row r="194" spans="1:5" s="34" customFormat="1" ht="31.5" customHeight="1" hidden="1">
      <c r="A194" s="37" t="s">
        <v>605</v>
      </c>
      <c r="B194" s="17" t="s">
        <v>177</v>
      </c>
      <c r="C194" s="30" t="s">
        <v>547</v>
      </c>
      <c r="D194" s="74"/>
      <c r="E194" s="41"/>
    </row>
    <row r="195" spans="1:5" s="34" customFormat="1" ht="42.75" customHeight="1" hidden="1">
      <c r="A195" s="37" t="s">
        <v>606</v>
      </c>
      <c r="B195" s="17" t="s">
        <v>177</v>
      </c>
      <c r="C195" s="30" t="s">
        <v>694</v>
      </c>
      <c r="D195" s="74">
        <f>21-21</f>
        <v>0</v>
      </c>
      <c r="E195" s="41"/>
    </row>
    <row r="196" spans="1:10" s="34" customFormat="1" ht="73.5" customHeight="1">
      <c r="A196" s="68" t="s">
        <v>772</v>
      </c>
      <c r="B196" s="75" t="s">
        <v>398</v>
      </c>
      <c r="C196" s="75" t="s">
        <v>733</v>
      </c>
      <c r="D196" s="82">
        <f>SUM(D197:D200)</f>
        <v>26709.464809999998</v>
      </c>
      <c r="E196" s="41"/>
      <c r="F196" s="80"/>
      <c r="I196" s="80"/>
      <c r="J196" s="80"/>
    </row>
    <row r="197" spans="1:6" s="34" customFormat="1" ht="31.5" customHeight="1">
      <c r="A197" s="37" t="s">
        <v>735</v>
      </c>
      <c r="B197" s="17" t="s">
        <v>177</v>
      </c>
      <c r="C197" s="30" t="s">
        <v>737</v>
      </c>
      <c r="D197" s="74">
        <f>12241.28906+240.04467-1218.90132</f>
        <v>11262.432409999998</v>
      </c>
      <c r="E197" s="41"/>
      <c r="F197" s="80"/>
    </row>
    <row r="198" spans="1:7" s="34" customFormat="1" ht="33" customHeight="1" hidden="1">
      <c r="A198" s="37" t="s">
        <v>736</v>
      </c>
      <c r="B198" s="17" t="s">
        <v>177</v>
      </c>
      <c r="C198" s="30" t="s">
        <v>738</v>
      </c>
      <c r="D198" s="74">
        <f>191.38937-191.38937</f>
        <v>0</v>
      </c>
      <c r="E198" s="41"/>
      <c r="F198" s="80"/>
      <c r="G198" s="80"/>
    </row>
    <row r="199" spans="1:11" s="34" customFormat="1" ht="44.25" customHeight="1">
      <c r="A199" s="37" t="s">
        <v>833</v>
      </c>
      <c r="B199" s="17" t="s">
        <v>177</v>
      </c>
      <c r="C199" s="30" t="s">
        <v>739</v>
      </c>
      <c r="D199" s="74">
        <f>3814.06939-571.21939-300</f>
        <v>2942.8500000000004</v>
      </c>
      <c r="E199" s="80"/>
      <c r="F199" s="80"/>
      <c r="G199" s="80"/>
      <c r="I199" s="79"/>
      <c r="K199" s="80"/>
    </row>
    <row r="200" spans="1:11" s="34" customFormat="1" ht="44.25" customHeight="1">
      <c r="A200" s="37" t="s">
        <v>734</v>
      </c>
      <c r="B200" s="17" t="s">
        <v>177</v>
      </c>
      <c r="C200" s="30" t="s">
        <v>832</v>
      </c>
      <c r="D200" s="74">
        <f>9339.59292+389.14971+4302.72-1362.34263-164.9376</f>
        <v>12504.1824</v>
      </c>
      <c r="E200" s="80"/>
      <c r="F200" s="80"/>
      <c r="G200" s="80"/>
      <c r="H200" s="80"/>
      <c r="I200" s="79"/>
      <c r="K200" s="80"/>
    </row>
    <row r="201" spans="1:8" s="34" customFormat="1" ht="33" customHeight="1">
      <c r="A201" s="68" t="s">
        <v>905</v>
      </c>
      <c r="B201" s="75" t="s">
        <v>398</v>
      </c>
      <c r="C201" s="254">
        <v>1600000000</v>
      </c>
      <c r="D201" s="82">
        <f>D202</f>
        <v>40</v>
      </c>
      <c r="E201" s="80"/>
      <c r="F201" s="80"/>
      <c r="G201" s="80"/>
      <c r="H201" s="80"/>
    </row>
    <row r="202" spans="1:7" s="34" customFormat="1" ht="15.75" customHeight="1">
      <c r="A202" s="37" t="s">
        <v>984</v>
      </c>
      <c r="B202" s="17" t="s">
        <v>177</v>
      </c>
      <c r="C202" s="30" t="s">
        <v>854</v>
      </c>
      <c r="D202" s="74">
        <v>40</v>
      </c>
      <c r="E202" s="80"/>
      <c r="F202" s="80"/>
      <c r="G202" s="80"/>
    </row>
    <row r="203" spans="1:7" s="34" customFormat="1" ht="44.25" customHeight="1" hidden="1">
      <c r="A203" s="37"/>
      <c r="B203" s="17"/>
      <c r="C203" s="30"/>
      <c r="D203" s="74"/>
      <c r="E203" s="80"/>
      <c r="F203" s="80"/>
      <c r="G203" s="80"/>
    </row>
    <row r="204" spans="1:7" s="34" customFormat="1" ht="44.25" customHeight="1">
      <c r="A204" s="68" t="s">
        <v>983</v>
      </c>
      <c r="B204" s="75" t="s">
        <v>398</v>
      </c>
      <c r="C204" s="254">
        <v>1700000000</v>
      </c>
      <c r="D204" s="82">
        <f>D205</f>
        <v>5</v>
      </c>
      <c r="E204" s="80"/>
      <c r="F204" s="80"/>
      <c r="G204" s="80"/>
    </row>
    <row r="205" spans="1:7" s="34" customFormat="1" ht="30.75" customHeight="1">
      <c r="A205" s="37" t="s">
        <v>985</v>
      </c>
      <c r="B205" s="17" t="s">
        <v>177</v>
      </c>
      <c r="C205" s="30" t="s">
        <v>987</v>
      </c>
      <c r="D205" s="74">
        <v>5</v>
      </c>
      <c r="E205" s="80"/>
      <c r="F205" s="80"/>
      <c r="G205" s="80"/>
    </row>
    <row r="206" spans="1:5" s="78" customFormat="1" ht="18" customHeight="1">
      <c r="A206" s="71" t="s">
        <v>105</v>
      </c>
      <c r="B206" s="151"/>
      <c r="C206" s="152"/>
      <c r="D206" s="82">
        <f>D159+D115+D113+D91+D84+D81+D77+D12+D166+D168+D178+D183+D190+D193+D196+D201+D204</f>
        <v>647648.7179500002</v>
      </c>
      <c r="E206" s="334"/>
    </row>
    <row r="207" spans="1:4" ht="18" customHeight="1">
      <c r="A207" s="335" t="s">
        <v>347</v>
      </c>
      <c r="B207" s="335"/>
      <c r="C207" s="335"/>
      <c r="D207" s="335"/>
    </row>
    <row r="208" spans="1:4" ht="30" customHeight="1" hidden="1">
      <c r="A208" s="31" t="s">
        <v>153</v>
      </c>
      <c r="B208" s="47"/>
      <c r="C208" s="48" t="s">
        <v>17</v>
      </c>
      <c r="D208" s="94"/>
    </row>
    <row r="209" spans="1:4" ht="13.5" hidden="1">
      <c r="A209" s="31" t="s">
        <v>106</v>
      </c>
      <c r="B209" s="47"/>
      <c r="C209" s="48" t="s">
        <v>18</v>
      </c>
      <c r="D209" s="94"/>
    </row>
    <row r="210" spans="1:4" ht="13.5">
      <c r="A210" s="37" t="s">
        <v>403</v>
      </c>
      <c r="B210" s="47"/>
      <c r="C210" s="48" t="s">
        <v>19</v>
      </c>
      <c r="D210" s="94">
        <f>1926.07+560+122.6+56.5+13.75</f>
        <v>2678.9199999999996</v>
      </c>
    </row>
    <row r="211" spans="1:4" ht="18" customHeight="1">
      <c r="A211" s="37" t="s">
        <v>122</v>
      </c>
      <c r="B211" s="47"/>
      <c r="C211" s="48" t="s">
        <v>20</v>
      </c>
      <c r="D211" s="94">
        <f>1764.503-2.5-10-15+46.72429+14.11074</f>
        <v>1797.8380300000001</v>
      </c>
    </row>
    <row r="212" spans="1:6" ht="28.5" customHeight="1">
      <c r="A212" s="37" t="s">
        <v>157</v>
      </c>
      <c r="B212" s="47"/>
      <c r="C212" s="48" t="s">
        <v>21</v>
      </c>
      <c r="D212" s="109">
        <f>45380.12-2000-81.15661+50-5+45-200+2574-726.49-405.104-300+107+61.3-100-37-12-39-4.5+392.05+118.35+105.65+32+86+26+33.1+10+20.64259+6.23406+117.5+35.5-20-3.4-13.5+80+24-500-150-15-300+50-50-15+3107.87271</f>
        <v>47485.16875000002</v>
      </c>
      <c r="E212" s="73"/>
      <c r="F212" s="73"/>
    </row>
    <row r="213" spans="1:8" ht="16.5" customHeight="1">
      <c r="A213" s="37" t="s">
        <v>123</v>
      </c>
      <c r="B213" s="47"/>
      <c r="C213" s="48" t="s">
        <v>22</v>
      </c>
      <c r="D213" s="94">
        <f>1574.736+52.98604</f>
        <v>1627.72204</v>
      </c>
      <c r="E213" s="73"/>
      <c r="F213" s="238"/>
      <c r="H213" s="239"/>
    </row>
    <row r="214" spans="1:8" ht="15" customHeight="1">
      <c r="A214" s="37" t="s">
        <v>124</v>
      </c>
      <c r="B214" s="47"/>
      <c r="C214" s="48" t="s">
        <v>25</v>
      </c>
      <c r="D214" s="94">
        <f>10+2+38.67678+5</f>
        <v>55.67678</v>
      </c>
      <c r="E214" s="73"/>
      <c r="F214" s="238"/>
      <c r="H214" s="239"/>
    </row>
    <row r="215" spans="1:8" ht="16.5" customHeight="1">
      <c r="A215" s="37" t="s">
        <v>125</v>
      </c>
      <c r="B215" s="47"/>
      <c r="C215" s="48" t="s">
        <v>26</v>
      </c>
      <c r="D215" s="94">
        <f>520+240-420+420-173.08</f>
        <v>586.92</v>
      </c>
      <c r="E215" s="73"/>
      <c r="F215" s="238"/>
      <c r="H215" s="239"/>
    </row>
    <row r="216" spans="1:8" ht="33" customHeight="1">
      <c r="A216" s="37" t="s">
        <v>364</v>
      </c>
      <c r="B216" s="47"/>
      <c r="C216" s="48" t="s">
        <v>27</v>
      </c>
      <c r="D216" s="94">
        <v>100</v>
      </c>
      <c r="F216" s="238"/>
      <c r="H216" s="239"/>
    </row>
    <row r="217" spans="1:8" ht="33" customHeight="1" hidden="1">
      <c r="A217" s="37" t="s">
        <v>47</v>
      </c>
      <c r="B217" s="47"/>
      <c r="C217" s="48" t="s">
        <v>28</v>
      </c>
      <c r="D217" s="94"/>
      <c r="F217" s="238"/>
      <c r="H217" s="239"/>
    </row>
    <row r="218" spans="1:8" ht="17.25" customHeight="1" hidden="1">
      <c r="A218" s="37" t="s">
        <v>370</v>
      </c>
      <c r="B218" s="47"/>
      <c r="C218" s="48" t="s">
        <v>29</v>
      </c>
      <c r="D218" s="94"/>
      <c r="E218" s="42"/>
      <c r="F218" s="238"/>
      <c r="H218" s="239"/>
    </row>
    <row r="219" spans="1:8" ht="15.75" customHeight="1">
      <c r="A219" s="37" t="s">
        <v>543</v>
      </c>
      <c r="B219" s="47"/>
      <c r="C219" s="48" t="s">
        <v>30</v>
      </c>
      <c r="D219" s="94">
        <f>521.8-200</f>
        <v>321.79999999999995</v>
      </c>
      <c r="E219" s="42"/>
      <c r="F219" s="238"/>
      <c r="H219" s="239"/>
    </row>
    <row r="220" spans="1:8" ht="15" customHeight="1">
      <c r="A220" s="37" t="s">
        <v>383</v>
      </c>
      <c r="B220" s="47"/>
      <c r="C220" s="48" t="s">
        <v>31</v>
      </c>
      <c r="D220" s="94">
        <v>90</v>
      </c>
      <c r="F220" s="238"/>
      <c r="H220" s="239"/>
    </row>
    <row r="221" spans="1:8" ht="15.75" customHeight="1">
      <c r="A221" s="37" t="s">
        <v>384</v>
      </c>
      <c r="B221" s="47"/>
      <c r="C221" s="48" t="s">
        <v>32</v>
      </c>
      <c r="D221" s="94">
        <f>100-64</f>
        <v>36</v>
      </c>
      <c r="F221" s="238"/>
      <c r="H221" s="239"/>
    </row>
    <row r="222" spans="1:8" ht="15.75" customHeight="1">
      <c r="A222" s="37" t="s">
        <v>461</v>
      </c>
      <c r="B222" s="47"/>
      <c r="C222" s="48" t="s">
        <v>90</v>
      </c>
      <c r="D222" s="94">
        <f>831+70</f>
        <v>901</v>
      </c>
      <c r="F222" s="238"/>
      <c r="H222" s="239"/>
    </row>
    <row r="223" spans="1:8" ht="15.75" customHeight="1" hidden="1">
      <c r="A223" s="37" t="s">
        <v>207</v>
      </c>
      <c r="B223" s="47"/>
      <c r="C223" s="48" t="s">
        <v>97</v>
      </c>
      <c r="D223" s="94"/>
      <c r="H223" s="239"/>
    </row>
    <row r="224" spans="1:8" ht="15.75" customHeight="1">
      <c r="A224" s="37" t="s">
        <v>469</v>
      </c>
      <c r="B224" s="47"/>
      <c r="C224" s="48" t="s">
        <v>98</v>
      </c>
      <c r="D224" s="94">
        <f>812.9+878.866</f>
        <v>1691.766</v>
      </c>
      <c r="G224" s="240"/>
      <c r="H224" s="239"/>
    </row>
    <row r="225" spans="1:4" ht="30" customHeight="1" hidden="1">
      <c r="A225" s="37" t="s">
        <v>305</v>
      </c>
      <c r="B225" s="47"/>
      <c r="C225" s="48" t="s">
        <v>99</v>
      </c>
      <c r="D225" s="94"/>
    </row>
    <row r="226" spans="1:4" ht="17.25" customHeight="1" hidden="1">
      <c r="A226" s="37" t="s">
        <v>441</v>
      </c>
      <c r="B226" s="47"/>
      <c r="C226" s="48" t="s">
        <v>100</v>
      </c>
      <c r="D226" s="94"/>
    </row>
    <row r="227" spans="1:4" ht="79.5" customHeight="1" hidden="1">
      <c r="A227" s="37" t="s">
        <v>489</v>
      </c>
      <c r="B227" s="47"/>
      <c r="C227" s="48" t="s">
        <v>488</v>
      </c>
      <c r="D227" s="94"/>
    </row>
    <row r="228" spans="1:4" ht="17.25" customHeight="1" hidden="1">
      <c r="A228" s="37" t="s">
        <v>484</v>
      </c>
      <c r="B228" s="47"/>
      <c r="C228" s="48" t="s">
        <v>485</v>
      </c>
      <c r="D228" s="94"/>
    </row>
    <row r="229" spans="1:4" ht="17.25" customHeight="1">
      <c r="A229" s="37" t="s">
        <v>492</v>
      </c>
      <c r="B229" s="47"/>
      <c r="C229" s="48" t="s">
        <v>493</v>
      </c>
      <c r="D229" s="94">
        <f>878.3-273.3+40.47983+70</f>
        <v>715.47983</v>
      </c>
    </row>
    <row r="230" spans="1:4" ht="63.75" customHeight="1" hidden="1">
      <c r="A230" s="37" t="s">
        <v>324</v>
      </c>
      <c r="B230" s="47"/>
      <c r="C230" s="48" t="s">
        <v>476</v>
      </c>
      <c r="D230" s="94"/>
    </row>
    <row r="231" spans="1:4" ht="15.75" customHeight="1" hidden="1">
      <c r="A231" s="37" t="s">
        <v>519</v>
      </c>
      <c r="B231" s="47"/>
      <c r="C231" s="48" t="s">
        <v>520</v>
      </c>
      <c r="D231" s="94"/>
    </row>
    <row r="232" spans="1:4" ht="15.75" customHeight="1" hidden="1">
      <c r="A232" s="37" t="s">
        <v>607</v>
      </c>
      <c r="B232" s="47"/>
      <c r="C232" s="48" t="s">
        <v>552</v>
      </c>
      <c r="D232" s="94"/>
    </row>
    <row r="233" spans="1:5" ht="15.75" customHeight="1">
      <c r="A233" s="37" t="s">
        <v>529</v>
      </c>
      <c r="B233" s="47"/>
      <c r="C233" s="48" t="s">
        <v>530</v>
      </c>
      <c r="D233" s="94">
        <f>500-14.84-120+8000-20-5274.073-122-20-70+17.99992</f>
        <v>2877.0869199999997</v>
      </c>
      <c r="E233" s="58"/>
    </row>
    <row r="234" spans="1:4" ht="30" customHeight="1">
      <c r="A234" s="37" t="s">
        <v>702</v>
      </c>
      <c r="B234" s="47"/>
      <c r="C234" s="48" t="s">
        <v>703</v>
      </c>
      <c r="D234" s="94">
        <v>14.84</v>
      </c>
    </row>
    <row r="235" spans="1:4" ht="30" customHeight="1">
      <c r="A235" s="37" t="s">
        <v>979</v>
      </c>
      <c r="B235" s="47"/>
      <c r="C235" s="48" t="s">
        <v>980</v>
      </c>
      <c r="D235" s="94">
        <f>10+70+20+70</f>
        <v>170</v>
      </c>
    </row>
    <row r="236" spans="1:4" ht="42" customHeight="1">
      <c r="A236" s="37" t="s">
        <v>928</v>
      </c>
      <c r="B236" s="47"/>
      <c r="C236" s="48" t="s">
        <v>929</v>
      </c>
      <c r="D236" s="94">
        <v>120</v>
      </c>
    </row>
    <row r="237" spans="1:4" ht="42" customHeight="1">
      <c r="A237" s="37" t="s">
        <v>955</v>
      </c>
      <c r="B237" s="47"/>
      <c r="C237" s="48" t="s">
        <v>954</v>
      </c>
      <c r="D237" s="94">
        <f>20+42-17.99992</f>
        <v>44.00008</v>
      </c>
    </row>
    <row r="238" spans="1:4" ht="15.75" customHeight="1">
      <c r="A238" s="37" t="s">
        <v>541</v>
      </c>
      <c r="B238" s="47"/>
      <c r="C238" s="48" t="s">
        <v>542</v>
      </c>
      <c r="D238" s="94">
        <v>80.3</v>
      </c>
    </row>
    <row r="239" spans="1:7" ht="57" customHeight="1">
      <c r="A239" s="37" t="s">
        <v>548</v>
      </c>
      <c r="B239" s="47"/>
      <c r="C239" s="48" t="s">
        <v>549</v>
      </c>
      <c r="D239" s="94">
        <f>250-130</f>
        <v>120</v>
      </c>
      <c r="G239" s="73"/>
    </row>
    <row r="240" spans="1:7" ht="16.5" customHeight="1">
      <c r="A240" s="37" t="s">
        <v>782</v>
      </c>
      <c r="B240" s="47"/>
      <c r="C240" s="48" t="s">
        <v>783</v>
      </c>
      <c r="D240" s="94">
        <f>72.2+59.918</f>
        <v>132.118</v>
      </c>
      <c r="G240" s="73"/>
    </row>
    <row r="241" spans="1:7" ht="16.5" customHeight="1" hidden="1">
      <c r="A241" s="37" t="s">
        <v>823</v>
      </c>
      <c r="B241" s="47"/>
      <c r="C241" s="48" t="s">
        <v>824</v>
      </c>
      <c r="D241" s="94"/>
      <c r="G241" s="73"/>
    </row>
    <row r="242" spans="1:7" ht="31.5" customHeight="1">
      <c r="A242" s="37" t="s">
        <v>952</v>
      </c>
      <c r="B242" s="47"/>
      <c r="C242" s="48" t="s">
        <v>953</v>
      </c>
      <c r="D242" s="94">
        <f>200-5</f>
        <v>195</v>
      </c>
      <c r="G242" s="73"/>
    </row>
    <row r="243" spans="1:4" ht="55.5" customHeight="1">
      <c r="A243" s="37" t="s">
        <v>107</v>
      </c>
      <c r="B243" s="47"/>
      <c r="C243" s="117">
        <v>9999959300</v>
      </c>
      <c r="D243" s="94">
        <f>1442.603+61.365+5.664</f>
        <v>1509.632</v>
      </c>
    </row>
    <row r="244" spans="1:4" ht="33" customHeight="1" hidden="1">
      <c r="A244" s="37" t="s">
        <v>727</v>
      </c>
      <c r="B244" s="47"/>
      <c r="C244" s="117" t="s">
        <v>728</v>
      </c>
      <c r="D244" s="94"/>
    </row>
    <row r="245" spans="1:4" ht="29.25" customHeight="1">
      <c r="A245" s="37" t="s">
        <v>810</v>
      </c>
      <c r="B245" s="47"/>
      <c r="C245" s="117">
        <v>9999993180</v>
      </c>
      <c r="D245" s="94">
        <v>353.579</v>
      </c>
    </row>
    <row r="246" spans="1:4" ht="16.5" customHeight="1">
      <c r="A246" s="71" t="s">
        <v>757</v>
      </c>
      <c r="B246" s="151"/>
      <c r="C246" s="152" t="s">
        <v>759</v>
      </c>
      <c r="D246" s="172">
        <f>D247+D248</f>
        <v>2060.09</v>
      </c>
    </row>
    <row r="247" spans="1:4" ht="27.75" customHeight="1">
      <c r="A247" s="37" t="s">
        <v>108</v>
      </c>
      <c r="B247" s="47"/>
      <c r="C247" s="48" t="s">
        <v>759</v>
      </c>
      <c r="D247" s="94">
        <v>1256.275</v>
      </c>
    </row>
    <row r="248" spans="1:4" ht="13.5">
      <c r="A248" s="37" t="s">
        <v>109</v>
      </c>
      <c r="B248" s="47"/>
      <c r="C248" s="48" t="s">
        <v>759</v>
      </c>
      <c r="D248" s="94">
        <v>803.815</v>
      </c>
    </row>
    <row r="249" spans="1:4" ht="30" customHeight="1">
      <c r="A249" s="37" t="s">
        <v>687</v>
      </c>
      <c r="B249" s="47"/>
      <c r="C249" s="48" t="s">
        <v>46</v>
      </c>
      <c r="D249" s="94">
        <f>265.91093+678.62214</f>
        <v>944.53307</v>
      </c>
    </row>
    <row r="250" spans="1:4" ht="17.25" customHeight="1">
      <c r="A250" s="37" t="s">
        <v>110</v>
      </c>
      <c r="B250" s="47"/>
      <c r="C250" s="48" t="s">
        <v>23</v>
      </c>
      <c r="D250" s="94">
        <v>830.909</v>
      </c>
    </row>
    <row r="251" spans="1:4" ht="30" customHeight="1">
      <c r="A251" s="37" t="s">
        <v>635</v>
      </c>
      <c r="B251" s="47"/>
      <c r="C251" s="48" t="s">
        <v>654</v>
      </c>
      <c r="D251" s="94">
        <v>1950.219</v>
      </c>
    </row>
    <row r="252" spans="1:4" ht="41.25" customHeight="1" hidden="1">
      <c r="A252" s="37" t="s">
        <v>636</v>
      </c>
      <c r="B252" s="47"/>
      <c r="C252" s="48" t="s">
        <v>655</v>
      </c>
      <c r="D252" s="94"/>
    </row>
    <row r="253" spans="1:4" ht="29.25" customHeight="1" hidden="1">
      <c r="A253" s="37" t="s">
        <v>637</v>
      </c>
      <c r="B253" s="47"/>
      <c r="C253" s="48" t="s">
        <v>656</v>
      </c>
      <c r="D253" s="94"/>
    </row>
    <row r="254" spans="1:4" ht="41.25">
      <c r="A254" s="37" t="s">
        <v>111</v>
      </c>
      <c r="B254" s="47"/>
      <c r="C254" s="48" t="s">
        <v>33</v>
      </c>
      <c r="D254" s="94">
        <v>1.28415</v>
      </c>
    </row>
    <row r="255" spans="1:4" ht="30.75" customHeight="1">
      <c r="A255" s="37" t="s">
        <v>689</v>
      </c>
      <c r="B255" s="47"/>
      <c r="C255" s="48" t="s">
        <v>443</v>
      </c>
      <c r="D255" s="94">
        <v>173.891</v>
      </c>
    </row>
    <row r="256" spans="1:5" ht="27" hidden="1">
      <c r="A256" s="37" t="s">
        <v>112</v>
      </c>
      <c r="B256" s="47"/>
      <c r="C256" s="48">
        <v>9999951180</v>
      </c>
      <c r="D256" s="94"/>
      <c r="E256" s="42"/>
    </row>
    <row r="257" spans="1:5" ht="42.75" customHeight="1">
      <c r="A257" s="37" t="s">
        <v>608</v>
      </c>
      <c r="B257" s="47"/>
      <c r="C257" s="48" t="s">
        <v>540</v>
      </c>
      <c r="D257" s="94">
        <v>3.38708</v>
      </c>
      <c r="E257" s="42"/>
    </row>
    <row r="258" spans="1:5" ht="42.75" customHeight="1">
      <c r="A258" s="37" t="s">
        <v>904</v>
      </c>
      <c r="B258" s="47"/>
      <c r="C258" s="48" t="s">
        <v>533</v>
      </c>
      <c r="D258" s="94">
        <f>158.91956+571.21939+172.1088-18.5975</f>
        <v>883.65025</v>
      </c>
      <c r="E258" s="73"/>
    </row>
    <row r="259" spans="1:6" ht="42.75" customHeight="1" hidden="1">
      <c r="A259" s="37" t="s">
        <v>903</v>
      </c>
      <c r="B259" s="47"/>
      <c r="C259" s="48" t="s">
        <v>879</v>
      </c>
      <c r="D259" s="94">
        <f>389.14971-389.14971</f>
        <v>0</v>
      </c>
      <c r="E259" s="73"/>
      <c r="F259" s="73"/>
    </row>
    <row r="260" spans="1:5" ht="84.75" customHeight="1" hidden="1">
      <c r="A260" s="37" t="s">
        <v>826</v>
      </c>
      <c r="B260" s="47"/>
      <c r="C260" s="48" t="s">
        <v>818</v>
      </c>
      <c r="D260" s="94">
        <f>133.61-133.61</f>
        <v>0</v>
      </c>
      <c r="E260" s="42"/>
    </row>
    <row r="261" spans="1:5" ht="15" customHeight="1" hidden="1">
      <c r="A261" s="37" t="s">
        <v>758</v>
      </c>
      <c r="B261" s="47"/>
      <c r="C261" s="48" t="s">
        <v>760</v>
      </c>
      <c r="D261" s="94"/>
      <c r="E261" s="158"/>
    </row>
    <row r="262" spans="1:5" ht="54.75" customHeight="1" hidden="1">
      <c r="A262" s="37" t="s">
        <v>716</v>
      </c>
      <c r="B262" s="47"/>
      <c r="C262" s="48" t="s">
        <v>717</v>
      </c>
      <c r="D262" s="94"/>
      <c r="E262" s="42"/>
    </row>
    <row r="263" spans="1:5" ht="6" customHeight="1" hidden="1">
      <c r="A263" s="37"/>
      <c r="B263" s="47"/>
      <c r="C263" s="48"/>
      <c r="D263" s="94"/>
      <c r="E263" s="42"/>
    </row>
    <row r="264" spans="1:6" ht="17.25" customHeight="1">
      <c r="A264" s="71" t="s">
        <v>127</v>
      </c>
      <c r="B264" s="151"/>
      <c r="C264" s="152"/>
      <c r="D264" s="81">
        <f>SUM(D210:D246)+SUM(D249:D261)</f>
        <v>70552.81098000002</v>
      </c>
      <c r="E264" s="336"/>
      <c r="F264" s="42"/>
    </row>
    <row r="265" spans="1:6" s="32" customFormat="1" ht="19.5" customHeight="1">
      <c r="A265" s="71" t="s">
        <v>113</v>
      </c>
      <c r="B265" s="151"/>
      <c r="C265" s="152"/>
      <c r="D265" s="81">
        <f>D264+D206</f>
        <v>718201.5289300003</v>
      </c>
      <c r="E265" s="196"/>
      <c r="F265" s="337"/>
    </row>
    <row r="266" ht="13.5">
      <c r="D266" s="80"/>
    </row>
    <row r="267" spans="3:5" ht="13.5">
      <c r="C267" s="58"/>
      <c r="E267" s="336"/>
    </row>
    <row r="268" spans="3:5" ht="13.5">
      <c r="C268" s="58"/>
      <c r="E268" s="73"/>
    </row>
    <row r="269" ht="13.5">
      <c r="C269" s="58"/>
    </row>
    <row r="270" ht="13.5">
      <c r="C270" s="58"/>
    </row>
    <row r="271" spans="3:4" ht="13.5">
      <c r="C271" s="338"/>
      <c r="D271" s="339"/>
    </row>
    <row r="272" spans="5:6" ht="13.5">
      <c r="E272" s="32"/>
      <c r="F272" s="73"/>
    </row>
    <row r="274" spans="9:10" ht="13.5">
      <c r="I274" s="73"/>
      <c r="J274" s="73"/>
    </row>
    <row r="275" ht="13.5">
      <c r="E275" s="73"/>
    </row>
  </sheetData>
  <sheetProtection/>
  <mergeCells count="7">
    <mergeCell ref="A207:D207"/>
    <mergeCell ref="A6:D6"/>
    <mergeCell ref="A11:D11"/>
    <mergeCell ref="A1:D1"/>
    <mergeCell ref="A2:D2"/>
    <mergeCell ref="A3:D3"/>
    <mergeCell ref="A4:D4"/>
  </mergeCells>
  <printOptions/>
  <pageMargins left="0.7480314960629921" right="0.7480314960629921" top="0.984251968503937" bottom="0.7874015748031497" header="0.5118110236220472" footer="0.5118110236220472"/>
  <pageSetup fitToHeight="0" fitToWidth="1" horizontalDpi="600" verticalDpi="600" orientation="portrait" paperSize="9" scale="76" r:id="rId1"/>
  <rowBreaks count="3" manualBreakCount="3">
    <brk id="38" max="3" man="1"/>
    <brk id="88" max="3" man="1"/>
    <brk id="132" max="3" man="1"/>
  </rowBreaks>
</worksheet>
</file>

<file path=xl/worksheets/sheet6.xml><?xml version="1.0" encoding="utf-8"?>
<worksheet xmlns="http://schemas.openxmlformats.org/spreadsheetml/2006/main" xmlns:r="http://schemas.openxmlformats.org/officeDocument/2006/relationships">
  <sheetPr>
    <tabColor rgb="FFFF0000"/>
  </sheetPr>
  <dimension ref="A1:H19"/>
  <sheetViews>
    <sheetView view="pageBreakPreview" zoomScale="90" zoomScaleSheetLayoutView="90" zoomScalePageLayoutView="0" workbookViewId="0" topLeftCell="A1">
      <selection activeCell="D11" sqref="D11"/>
    </sheetView>
  </sheetViews>
  <sheetFormatPr defaultColWidth="9.00390625" defaultRowHeight="12.75"/>
  <cols>
    <col min="1" max="1" width="33.875" style="174" customWidth="1"/>
    <col min="2" max="3" width="15.375" style="174" customWidth="1"/>
    <col min="4" max="4" width="31.25390625" style="174" customWidth="1"/>
    <col min="5" max="5" width="21.125" style="174" customWidth="1"/>
    <col min="6" max="6" width="13.375" style="174" customWidth="1"/>
    <col min="7" max="7" width="12.625" style="174" customWidth="1"/>
    <col min="8" max="16384" width="8.875" style="174" customWidth="1"/>
  </cols>
  <sheetData>
    <row r="1" spans="1:7" ht="17.25" customHeight="1">
      <c r="A1" s="122"/>
      <c r="B1" s="121"/>
      <c r="C1" s="121"/>
      <c r="D1" s="121"/>
      <c r="E1" s="121"/>
      <c r="F1" s="122"/>
      <c r="G1" s="121" t="s">
        <v>946</v>
      </c>
    </row>
    <row r="2" spans="1:7" ht="15">
      <c r="A2" s="122"/>
      <c r="B2" s="121"/>
      <c r="C2" s="121"/>
      <c r="D2" s="121"/>
      <c r="E2" s="121"/>
      <c r="F2" s="122"/>
      <c r="G2" s="121" t="s">
        <v>11</v>
      </c>
    </row>
    <row r="3" spans="1:7" ht="15">
      <c r="A3" s="122"/>
      <c r="B3" s="121"/>
      <c r="C3" s="121"/>
      <c r="D3" s="121"/>
      <c r="E3" s="121"/>
      <c r="F3" s="122"/>
      <c r="G3" s="121" t="s">
        <v>12</v>
      </c>
    </row>
    <row r="4" spans="1:8" ht="18.75" customHeight="1">
      <c r="A4" s="256" t="s">
        <v>996</v>
      </c>
      <c r="B4" s="256"/>
      <c r="C4" s="256"/>
      <c r="D4" s="256"/>
      <c r="E4" s="256"/>
      <c r="F4" s="287"/>
      <c r="G4" s="287"/>
      <c r="H4" s="5"/>
    </row>
    <row r="5" ht="22.5" customHeight="1"/>
    <row r="6" spans="1:7" ht="78" customHeight="1">
      <c r="A6" s="285" t="s">
        <v>837</v>
      </c>
      <c r="B6" s="285"/>
      <c r="C6" s="285"/>
      <c r="D6" s="285"/>
      <c r="E6" s="285"/>
      <c r="F6" s="285"/>
      <c r="G6" s="285"/>
    </row>
    <row r="7" spans="1:5" ht="14.25" customHeight="1">
      <c r="A7" s="253"/>
      <c r="B7" s="253"/>
      <c r="C7" s="253"/>
      <c r="D7" s="253"/>
      <c r="E7" s="253"/>
    </row>
    <row r="8" spans="1:7" ht="20.25" customHeight="1">
      <c r="A8" s="253"/>
      <c r="B8" s="299"/>
      <c r="C8" s="299"/>
      <c r="D8" s="299"/>
      <c r="E8" s="299"/>
      <c r="F8" s="299"/>
      <c r="G8" s="299" t="s">
        <v>175</v>
      </c>
    </row>
    <row r="9" spans="1:7" ht="18.75" customHeight="1">
      <c r="A9" s="259" t="s">
        <v>4</v>
      </c>
      <c r="B9" s="259" t="s">
        <v>617</v>
      </c>
      <c r="C9" s="340"/>
      <c r="D9" s="340"/>
      <c r="E9" s="340"/>
      <c r="F9" s="259" t="s">
        <v>753</v>
      </c>
      <c r="G9" s="259" t="s">
        <v>838</v>
      </c>
    </row>
    <row r="10" spans="1:7" ht="233.25" customHeight="1">
      <c r="A10" s="259"/>
      <c r="B10" s="3" t="s">
        <v>957</v>
      </c>
      <c r="C10" s="3" t="s">
        <v>958</v>
      </c>
      <c r="D10" s="3" t="s">
        <v>978</v>
      </c>
      <c r="E10" s="3" t="s">
        <v>959</v>
      </c>
      <c r="F10" s="259"/>
      <c r="G10" s="259"/>
    </row>
    <row r="11" spans="1:7" ht="29.25" customHeight="1">
      <c r="A11" s="188" t="s">
        <v>5</v>
      </c>
      <c r="B11" s="252"/>
      <c r="C11" s="252"/>
      <c r="D11" s="252">
        <f>231.5+694.2</f>
        <v>925.7</v>
      </c>
      <c r="E11" s="250">
        <f aca="true" t="shared" si="0" ref="E11:E16">SUM(B11:D11)</f>
        <v>925.7</v>
      </c>
      <c r="F11" s="250">
        <v>0</v>
      </c>
      <c r="G11" s="250">
        <v>0</v>
      </c>
    </row>
    <row r="12" spans="1:7" ht="30.75">
      <c r="A12" s="188" t="s">
        <v>233</v>
      </c>
      <c r="B12" s="252"/>
      <c r="C12" s="252"/>
      <c r="D12" s="252">
        <v>28.1</v>
      </c>
      <c r="E12" s="250">
        <f t="shared" si="0"/>
        <v>28.1</v>
      </c>
      <c r="F12" s="250">
        <v>0</v>
      </c>
      <c r="G12" s="250">
        <v>0</v>
      </c>
    </row>
    <row r="13" spans="1:7" ht="21" customHeight="1">
      <c r="A13" s="188" t="s">
        <v>381</v>
      </c>
      <c r="B13" s="252">
        <f>600-30+40</f>
        <v>610</v>
      </c>
      <c r="C13" s="252"/>
      <c r="D13" s="252"/>
      <c r="E13" s="250">
        <f t="shared" si="0"/>
        <v>610</v>
      </c>
      <c r="F13" s="250">
        <v>50</v>
      </c>
      <c r="G13" s="250">
        <v>50</v>
      </c>
    </row>
    <row r="14" spans="1:7" ht="24.75" customHeight="1">
      <c r="A14" s="188" t="s">
        <v>9</v>
      </c>
      <c r="B14" s="252">
        <f>500-50</f>
        <v>450</v>
      </c>
      <c r="C14" s="252"/>
      <c r="D14" s="252"/>
      <c r="E14" s="250">
        <f t="shared" si="0"/>
        <v>450</v>
      </c>
      <c r="F14" s="250">
        <v>50</v>
      </c>
      <c r="G14" s="250">
        <v>50</v>
      </c>
    </row>
    <row r="15" spans="1:7" ht="22.5" customHeight="1">
      <c r="A15" s="188" t="s">
        <v>8</v>
      </c>
      <c r="B15" s="252">
        <f>800+330</f>
        <v>1130</v>
      </c>
      <c r="C15" s="252"/>
      <c r="D15" s="252">
        <f>43.1+41.2</f>
        <v>84.30000000000001</v>
      </c>
      <c r="E15" s="250">
        <f t="shared" si="0"/>
        <v>1214.3</v>
      </c>
      <c r="F15" s="250">
        <v>0</v>
      </c>
      <c r="G15" s="250">
        <v>0</v>
      </c>
    </row>
    <row r="16" spans="1:7" ht="24" customHeight="1">
      <c r="A16" s="188" t="s">
        <v>7</v>
      </c>
      <c r="B16" s="252">
        <f>186</f>
        <v>186</v>
      </c>
      <c r="C16" s="252">
        <f>759.89-12.30676</f>
        <v>747.5832399999999</v>
      </c>
      <c r="D16" s="252">
        <v>10.3</v>
      </c>
      <c r="E16" s="250">
        <f t="shared" si="0"/>
        <v>943.8832399999999</v>
      </c>
      <c r="F16" s="250">
        <v>0</v>
      </c>
      <c r="G16" s="250">
        <v>0</v>
      </c>
    </row>
    <row r="17" spans="1:7" ht="21.75" customHeight="1">
      <c r="A17" s="187" t="s">
        <v>10</v>
      </c>
      <c r="B17" s="250">
        <f aca="true" t="shared" si="1" ref="B17:G17">SUM(B11:B16)</f>
        <v>2376</v>
      </c>
      <c r="C17" s="250">
        <f t="shared" si="1"/>
        <v>747.5832399999999</v>
      </c>
      <c r="D17" s="250">
        <f t="shared" si="1"/>
        <v>1048.4</v>
      </c>
      <c r="E17" s="250">
        <f t="shared" si="1"/>
        <v>4171.9832400000005</v>
      </c>
      <c r="F17" s="250">
        <f t="shared" si="1"/>
        <v>100</v>
      </c>
      <c r="G17" s="250">
        <f t="shared" si="1"/>
        <v>100</v>
      </c>
    </row>
    <row r="19" spans="2:5" ht="12.75">
      <c r="B19" s="341"/>
      <c r="E19" s="248"/>
    </row>
  </sheetData>
  <sheetProtection/>
  <mergeCells count="6">
    <mergeCell ref="B9:E9"/>
    <mergeCell ref="A6:G6"/>
    <mergeCell ref="A4:G4"/>
    <mergeCell ref="A9:A10"/>
    <mergeCell ref="F9:F10"/>
    <mergeCell ref="G9:G10"/>
  </mergeCells>
  <printOptions/>
  <pageMargins left="0.7480314960629921" right="0.7480314960629921" top="0.984251968503937" bottom="0.984251968503937" header="0.5118110236220472" footer="0.5118110236220472"/>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SheetLayoutView="100" zoomScalePageLayoutView="0" workbookViewId="0" topLeftCell="A1">
      <selection activeCell="A1" sqref="A1:IV16384"/>
    </sheetView>
  </sheetViews>
  <sheetFormatPr defaultColWidth="8.625" defaultRowHeight="12.75"/>
  <cols>
    <col min="1" max="1" width="37.625" style="310" customWidth="1"/>
    <col min="2" max="2" width="4.625" style="25" hidden="1" customWidth="1"/>
    <col min="3" max="3" width="5.50390625" style="25" hidden="1" customWidth="1"/>
    <col min="4" max="4" width="12.375" style="25" hidden="1" customWidth="1"/>
    <col min="5" max="5" width="4.625" style="25" hidden="1" customWidth="1"/>
    <col min="6" max="6" width="13.50390625" style="29" customWidth="1"/>
    <col min="7" max="7" width="10.50390625" style="29" customWidth="1"/>
    <col min="8" max="9" width="13.50390625" style="29" customWidth="1"/>
    <col min="10" max="10" width="12.375" style="29" customWidth="1"/>
    <col min="11" max="11" width="14.50390625" style="29" customWidth="1"/>
    <col min="12" max="12" width="13.875" style="29" customWidth="1"/>
    <col min="13" max="13" width="12.50390625" style="29" bestFit="1" customWidth="1"/>
    <col min="14" max="14" width="14.625" style="29" customWidth="1"/>
    <col min="15" max="16384" width="8.625" style="29" customWidth="1"/>
  </cols>
  <sheetData>
    <row r="1" spans="1:14" ht="15.75" customHeight="1">
      <c r="A1" s="93"/>
      <c r="B1" s="93"/>
      <c r="C1" s="93"/>
      <c r="D1" s="93"/>
      <c r="E1" s="210"/>
      <c r="F1" s="256"/>
      <c r="G1" s="256"/>
      <c r="H1" s="256"/>
      <c r="L1" s="256" t="s">
        <v>981</v>
      </c>
      <c r="M1" s="256"/>
      <c r="N1" s="256"/>
    </row>
    <row r="2" spans="1:14" ht="18">
      <c r="A2" s="342"/>
      <c r="B2" s="210"/>
      <c r="C2" s="210"/>
      <c r="D2" s="343"/>
      <c r="E2" s="210"/>
      <c r="F2" s="256"/>
      <c r="G2" s="256"/>
      <c r="H2" s="256"/>
      <c r="L2" s="256" t="s">
        <v>394</v>
      </c>
      <c r="M2" s="256"/>
      <c r="N2" s="256"/>
    </row>
    <row r="3" spans="1:14" ht="18">
      <c r="A3" s="342"/>
      <c r="B3" s="210"/>
      <c r="C3" s="210"/>
      <c r="D3" s="343"/>
      <c r="E3" s="210"/>
      <c r="F3" s="256"/>
      <c r="G3" s="256"/>
      <c r="H3" s="256"/>
      <c r="L3" s="256" t="s">
        <v>395</v>
      </c>
      <c r="M3" s="256"/>
      <c r="N3" s="256"/>
    </row>
    <row r="4" spans="1:14" ht="15.75" customHeight="1">
      <c r="A4" s="342"/>
      <c r="B4" s="210"/>
      <c r="C4" s="210"/>
      <c r="D4" s="210"/>
      <c r="E4" s="210"/>
      <c r="F4" s="311"/>
      <c r="G4" s="256"/>
      <c r="H4" s="256"/>
      <c r="L4" s="311" t="s">
        <v>996</v>
      </c>
      <c r="M4" s="256"/>
      <c r="N4" s="256"/>
    </row>
    <row r="5" ht="4.5" customHeight="1"/>
    <row r="6" spans="1:14" ht="15">
      <c r="A6" s="279" t="s">
        <v>396</v>
      </c>
      <c r="B6" s="279"/>
      <c r="C6" s="279"/>
      <c r="D6" s="279"/>
      <c r="E6" s="279"/>
      <c r="F6" s="279"/>
      <c r="G6" s="279"/>
      <c r="H6" s="279"/>
      <c r="I6" s="279"/>
      <c r="J6" s="279"/>
      <c r="K6" s="279"/>
      <c r="L6" s="279"/>
      <c r="M6" s="279"/>
      <c r="N6" s="279"/>
    </row>
    <row r="7" spans="1:14" ht="16.5" customHeight="1">
      <c r="A7" s="279" t="s">
        <v>876</v>
      </c>
      <c r="B7" s="279"/>
      <c r="C7" s="279"/>
      <c r="D7" s="279"/>
      <c r="E7" s="279"/>
      <c r="F7" s="279"/>
      <c r="G7" s="279"/>
      <c r="H7" s="279"/>
      <c r="I7" s="279"/>
      <c r="J7" s="279"/>
      <c r="K7" s="279"/>
      <c r="L7" s="279"/>
      <c r="M7" s="279"/>
      <c r="N7" s="279"/>
    </row>
    <row r="8" spans="1:14" ht="15.75" customHeight="1">
      <c r="A8" s="279"/>
      <c r="B8" s="279"/>
      <c r="C8" s="279"/>
      <c r="D8" s="279"/>
      <c r="E8" s="279"/>
      <c r="F8" s="279"/>
      <c r="G8" s="279"/>
      <c r="H8" s="279"/>
      <c r="I8" s="279"/>
      <c r="J8" s="279"/>
      <c r="K8" s="279"/>
      <c r="L8" s="279"/>
      <c r="M8" s="279"/>
      <c r="N8" s="279"/>
    </row>
    <row r="9" spans="1:14" ht="15.75" customHeight="1">
      <c r="A9" s="6"/>
      <c r="B9" s="6"/>
      <c r="C9" s="161"/>
      <c r="D9" s="161"/>
      <c r="E9" s="161"/>
      <c r="F9" s="161"/>
      <c r="G9" s="161"/>
      <c r="H9" s="36"/>
      <c r="I9" s="36"/>
      <c r="J9" s="36"/>
      <c r="K9" s="36"/>
      <c r="L9" s="36"/>
      <c r="M9" s="36"/>
      <c r="N9" s="36" t="s">
        <v>359</v>
      </c>
    </row>
    <row r="10" spans="1:14" ht="12" customHeight="1">
      <c r="A10" s="277" t="s">
        <v>336</v>
      </c>
      <c r="B10" s="344" t="s">
        <v>145</v>
      </c>
      <c r="C10" s="344" t="s">
        <v>146</v>
      </c>
      <c r="D10" s="345" t="s">
        <v>338</v>
      </c>
      <c r="E10" s="344" t="s">
        <v>147</v>
      </c>
      <c r="F10" s="291" t="s">
        <v>622</v>
      </c>
      <c r="G10" s="290" t="s">
        <v>340</v>
      </c>
      <c r="H10" s="290"/>
      <c r="I10" s="291" t="s">
        <v>756</v>
      </c>
      <c r="J10" s="290" t="s">
        <v>340</v>
      </c>
      <c r="K10" s="290"/>
      <c r="L10" s="291" t="s">
        <v>877</v>
      </c>
      <c r="M10" s="290" t="s">
        <v>340</v>
      </c>
      <c r="N10" s="290"/>
    </row>
    <row r="11" spans="1:14" ht="52.5" customHeight="1">
      <c r="A11" s="278"/>
      <c r="B11" s="346"/>
      <c r="C11" s="346"/>
      <c r="D11" s="347"/>
      <c r="E11" s="346"/>
      <c r="F11" s="292"/>
      <c r="G11" s="2" t="s">
        <v>137</v>
      </c>
      <c r="H11" s="2" t="s">
        <v>237</v>
      </c>
      <c r="I11" s="292"/>
      <c r="J11" s="2" t="s">
        <v>137</v>
      </c>
      <c r="K11" s="2" t="s">
        <v>237</v>
      </c>
      <c r="L11" s="292"/>
      <c r="M11" s="2" t="s">
        <v>137</v>
      </c>
      <c r="N11" s="2" t="s">
        <v>237</v>
      </c>
    </row>
    <row r="12" spans="1:14" s="349" customFormat="1" ht="11.25" customHeight="1">
      <c r="A12" s="348">
        <v>1</v>
      </c>
      <c r="B12" s="348">
        <v>2</v>
      </c>
      <c r="C12" s="348">
        <v>3</v>
      </c>
      <c r="D12" s="348">
        <v>4</v>
      </c>
      <c r="E12" s="348">
        <v>5</v>
      </c>
      <c r="F12" s="12">
        <v>6</v>
      </c>
      <c r="G12" s="9">
        <v>7</v>
      </c>
      <c r="H12" s="13">
        <v>8</v>
      </c>
      <c r="I12" s="12">
        <v>6</v>
      </c>
      <c r="J12" s="9">
        <v>7</v>
      </c>
      <c r="K12" s="13">
        <v>8</v>
      </c>
      <c r="L12" s="12">
        <v>6</v>
      </c>
      <c r="M12" s="9">
        <v>7</v>
      </c>
      <c r="N12" s="13">
        <v>8</v>
      </c>
    </row>
    <row r="13" spans="1:14" s="349" customFormat="1" ht="53.25" customHeight="1" hidden="1">
      <c r="A13" s="35" t="s">
        <v>136</v>
      </c>
      <c r="B13" s="24" t="s">
        <v>380</v>
      </c>
      <c r="C13" s="24" t="s">
        <v>380</v>
      </c>
      <c r="D13" s="24"/>
      <c r="E13" s="24"/>
      <c r="F13" s="162"/>
      <c r="G13" s="163"/>
      <c r="H13" s="163"/>
      <c r="I13" s="162"/>
      <c r="J13" s="163"/>
      <c r="K13" s="163"/>
      <c r="L13" s="162"/>
      <c r="M13" s="163"/>
      <c r="N13" s="163"/>
    </row>
    <row r="14" spans="1:14" s="15" customFormat="1" ht="65.25" customHeight="1" hidden="1">
      <c r="A14" s="27" t="s">
        <v>183</v>
      </c>
      <c r="B14" s="24" t="s">
        <v>380</v>
      </c>
      <c r="C14" s="24" t="s">
        <v>380</v>
      </c>
      <c r="D14" s="24"/>
      <c r="E14" s="24"/>
      <c r="F14" s="350"/>
      <c r="G14" s="351"/>
      <c r="H14" s="351"/>
      <c r="I14" s="350"/>
      <c r="J14" s="351"/>
      <c r="K14" s="351"/>
      <c r="L14" s="350"/>
      <c r="M14" s="351"/>
      <c r="N14" s="351"/>
    </row>
    <row r="15" spans="1:14" ht="33.75" customHeight="1" hidden="1">
      <c r="A15" s="23" t="s">
        <v>203</v>
      </c>
      <c r="B15" s="11" t="s">
        <v>380</v>
      </c>
      <c r="C15" s="11" t="s">
        <v>380</v>
      </c>
      <c r="D15" s="11" t="s">
        <v>71</v>
      </c>
      <c r="E15" s="11" t="s">
        <v>204</v>
      </c>
      <c r="F15" s="352">
        <f>G15+H15</f>
        <v>0</v>
      </c>
      <c r="G15" s="353">
        <v>0</v>
      </c>
      <c r="H15" s="353">
        <v>0</v>
      </c>
      <c r="I15" s="352">
        <f>J15+K15</f>
        <v>0</v>
      </c>
      <c r="J15" s="353">
        <v>0</v>
      </c>
      <c r="K15" s="353">
        <v>0</v>
      </c>
      <c r="L15" s="352">
        <f>M15+N15</f>
        <v>0</v>
      </c>
      <c r="M15" s="353">
        <v>0</v>
      </c>
      <c r="N15" s="353">
        <v>0</v>
      </c>
    </row>
    <row r="16" spans="1:14" s="21" customFormat="1" ht="18.75" customHeight="1">
      <c r="A16" s="64" t="s">
        <v>325</v>
      </c>
      <c r="B16" s="30" t="s">
        <v>221</v>
      </c>
      <c r="C16" s="30" t="s">
        <v>150</v>
      </c>
      <c r="D16" s="30"/>
      <c r="E16" s="30"/>
      <c r="F16" s="164"/>
      <c r="G16" s="354"/>
      <c r="H16" s="354"/>
      <c r="I16" s="164"/>
      <c r="J16" s="354"/>
      <c r="K16" s="354"/>
      <c r="L16" s="164"/>
      <c r="M16" s="354"/>
      <c r="N16" s="354"/>
    </row>
    <row r="17" spans="1:14" s="92" customFormat="1" ht="17.25" customHeight="1">
      <c r="A17" s="64" t="s">
        <v>143</v>
      </c>
      <c r="B17" s="30"/>
      <c r="C17" s="30"/>
      <c r="D17" s="30"/>
      <c r="E17" s="30"/>
      <c r="F17" s="164"/>
      <c r="G17" s="40"/>
      <c r="H17" s="40"/>
      <c r="I17" s="164"/>
      <c r="J17" s="40"/>
      <c r="K17" s="40"/>
      <c r="L17" s="164"/>
      <c r="M17" s="40"/>
      <c r="N17" s="40"/>
    </row>
    <row r="18" spans="1:14" s="214" customFormat="1" ht="32.25" customHeight="1">
      <c r="A18" s="14" t="s">
        <v>461</v>
      </c>
      <c r="B18" s="30" t="s">
        <v>221</v>
      </c>
      <c r="C18" s="30" t="s">
        <v>149</v>
      </c>
      <c r="D18" s="30" t="s">
        <v>90</v>
      </c>
      <c r="E18" s="30" t="s">
        <v>204</v>
      </c>
      <c r="F18" s="105">
        <f>G18+H18</f>
        <v>901</v>
      </c>
      <c r="G18" s="109">
        <f>831+70</f>
        <v>901</v>
      </c>
      <c r="H18" s="74">
        <v>0</v>
      </c>
      <c r="I18" s="105">
        <f>J18+K18</f>
        <v>831</v>
      </c>
      <c r="J18" s="109">
        <v>831</v>
      </c>
      <c r="K18" s="74">
        <v>0</v>
      </c>
      <c r="L18" s="109">
        <f>M18</f>
        <v>831</v>
      </c>
      <c r="M18" s="109">
        <v>831</v>
      </c>
      <c r="N18" s="74">
        <v>0</v>
      </c>
    </row>
    <row r="19" spans="1:14" s="32" customFormat="1" ht="25.5" customHeight="1">
      <c r="A19" s="64" t="s">
        <v>569</v>
      </c>
      <c r="B19" s="30" t="s">
        <v>221</v>
      </c>
      <c r="C19" s="30" t="s">
        <v>156</v>
      </c>
      <c r="D19" s="30"/>
      <c r="E19" s="30"/>
      <c r="F19" s="165"/>
      <c r="G19" s="40"/>
      <c r="H19" s="40"/>
      <c r="I19" s="165"/>
      <c r="J19" s="40"/>
      <c r="K19" s="40"/>
      <c r="L19" s="165"/>
      <c r="M19" s="40"/>
      <c r="N19" s="40"/>
    </row>
    <row r="20" spans="1:14" s="32" customFormat="1" ht="69" customHeight="1">
      <c r="A20" s="14" t="s">
        <v>885</v>
      </c>
      <c r="B20" s="30" t="s">
        <v>221</v>
      </c>
      <c r="C20" s="30" t="s">
        <v>156</v>
      </c>
      <c r="D20" s="30" t="s">
        <v>649</v>
      </c>
      <c r="E20" s="30" t="s">
        <v>279</v>
      </c>
      <c r="F20" s="105">
        <f>G20+H20</f>
        <v>831.3779999999999</v>
      </c>
      <c r="G20" s="74">
        <v>0</v>
      </c>
      <c r="H20" s="74">
        <f>1130-298.622</f>
        <v>831.3779999999999</v>
      </c>
      <c r="I20" s="105">
        <f>J20+K20</f>
        <v>1130</v>
      </c>
      <c r="J20" s="74">
        <v>0</v>
      </c>
      <c r="K20" s="74">
        <v>1130</v>
      </c>
      <c r="L20" s="105">
        <f>M20+N20</f>
        <v>1130</v>
      </c>
      <c r="M20" s="74">
        <v>0</v>
      </c>
      <c r="N20" s="74">
        <v>1130</v>
      </c>
    </row>
    <row r="21" spans="1:14" s="32" customFormat="1" ht="23.25" customHeight="1">
      <c r="A21" s="64" t="s">
        <v>391</v>
      </c>
      <c r="B21" s="30" t="s">
        <v>221</v>
      </c>
      <c r="C21" s="30" t="s">
        <v>160</v>
      </c>
      <c r="D21" s="30"/>
      <c r="E21" s="30"/>
      <c r="F21" s="165"/>
      <c r="G21" s="40"/>
      <c r="H21" s="40"/>
      <c r="I21" s="165"/>
      <c r="J21" s="40"/>
      <c r="K21" s="40"/>
      <c r="L21" s="165"/>
      <c r="M21" s="40"/>
      <c r="N21" s="40"/>
    </row>
    <row r="22" spans="1:14" s="32" customFormat="1" ht="114" customHeight="1" hidden="1">
      <c r="A22" s="45" t="s">
        <v>638</v>
      </c>
      <c r="B22" s="30" t="s">
        <v>221</v>
      </c>
      <c r="C22" s="30" t="s">
        <v>160</v>
      </c>
      <c r="D22" s="30"/>
      <c r="E22" s="30"/>
      <c r="F22" s="165"/>
      <c r="G22" s="40"/>
      <c r="H22" s="40"/>
      <c r="I22" s="165"/>
      <c r="J22" s="40"/>
      <c r="K22" s="40"/>
      <c r="L22" s="165"/>
      <c r="M22" s="40"/>
      <c r="N22" s="40"/>
    </row>
    <row r="23" spans="1:15" s="32" customFormat="1" ht="73.5" customHeight="1">
      <c r="A23" s="37" t="s">
        <v>886</v>
      </c>
      <c r="B23" s="30" t="s">
        <v>221</v>
      </c>
      <c r="C23" s="30" t="s">
        <v>160</v>
      </c>
      <c r="D23" s="30" t="s">
        <v>655</v>
      </c>
      <c r="E23" s="30" t="s">
        <v>204</v>
      </c>
      <c r="F23" s="105">
        <f>G23+H23</f>
        <v>11158.894339999999</v>
      </c>
      <c r="G23" s="74"/>
      <c r="H23" s="74">
        <f>9891.28906+2200+240.04467-390.63453-26.26-755.54486</f>
        <v>11158.894339999999</v>
      </c>
      <c r="I23" s="105">
        <f>J23+K23</f>
        <v>12493.25342</v>
      </c>
      <c r="J23" s="74"/>
      <c r="K23" s="74">
        <f>10493.25342+2000</f>
        <v>12493.25342</v>
      </c>
      <c r="L23" s="105">
        <f>M23+N23</f>
        <v>12911.16384</v>
      </c>
      <c r="M23" s="74"/>
      <c r="N23" s="74">
        <f>10911.16384+2000</f>
        <v>12911.16384</v>
      </c>
      <c r="O23" s="159"/>
    </row>
    <row r="24" spans="1:14" s="32" customFormat="1" ht="86.25" customHeight="1" hidden="1">
      <c r="A24" s="45" t="s">
        <v>640</v>
      </c>
      <c r="B24" s="30"/>
      <c r="C24" s="30"/>
      <c r="D24" s="30"/>
      <c r="E24" s="30"/>
      <c r="F24" s="105"/>
      <c r="G24" s="74"/>
      <c r="H24" s="74"/>
      <c r="I24" s="105"/>
      <c r="J24" s="74"/>
      <c r="K24" s="74"/>
      <c r="L24" s="105"/>
      <c r="M24" s="74"/>
      <c r="N24" s="74"/>
    </row>
    <row r="25" spans="1:14" s="32" customFormat="1" ht="45" customHeight="1" hidden="1">
      <c r="A25" s="37" t="s">
        <v>665</v>
      </c>
      <c r="B25" s="30" t="s">
        <v>221</v>
      </c>
      <c r="C25" s="30" t="s">
        <v>160</v>
      </c>
      <c r="D25" s="30" t="s">
        <v>656</v>
      </c>
      <c r="E25" s="30" t="s">
        <v>204</v>
      </c>
      <c r="F25" s="105">
        <f>G25+H25</f>
        <v>0</v>
      </c>
      <c r="G25" s="74"/>
      <c r="H25" s="74">
        <v>0</v>
      </c>
      <c r="I25" s="105">
        <f>J25+K25</f>
        <v>0</v>
      </c>
      <c r="J25" s="74"/>
      <c r="K25" s="74">
        <v>0</v>
      </c>
      <c r="L25" s="105">
        <f>M25+N25</f>
        <v>0</v>
      </c>
      <c r="M25" s="74"/>
      <c r="N25" s="74">
        <v>0</v>
      </c>
    </row>
    <row r="26" spans="1:14" s="32" customFormat="1" ht="57" customHeight="1" hidden="1">
      <c r="A26" s="64" t="s">
        <v>453</v>
      </c>
      <c r="B26" s="30" t="s">
        <v>221</v>
      </c>
      <c r="C26" s="30" t="s">
        <v>160</v>
      </c>
      <c r="D26" s="30"/>
      <c r="E26" s="30"/>
      <c r="F26" s="105"/>
      <c r="G26" s="74"/>
      <c r="H26" s="74"/>
      <c r="I26" s="105"/>
      <c r="J26" s="74"/>
      <c r="K26" s="74"/>
      <c r="L26" s="105"/>
      <c r="M26" s="74"/>
      <c r="N26" s="74"/>
    </row>
    <row r="27" spans="1:14" s="21" customFormat="1" ht="18" customHeight="1" hidden="1">
      <c r="A27" s="45" t="s">
        <v>223</v>
      </c>
      <c r="B27" s="30" t="s">
        <v>221</v>
      </c>
      <c r="C27" s="30" t="s">
        <v>160</v>
      </c>
      <c r="D27" s="30"/>
      <c r="E27" s="30"/>
      <c r="F27" s="105"/>
      <c r="G27" s="74"/>
      <c r="H27" s="74"/>
      <c r="I27" s="105"/>
      <c r="J27" s="74"/>
      <c r="K27" s="74"/>
      <c r="L27" s="105"/>
      <c r="M27" s="74"/>
      <c r="N27" s="74"/>
    </row>
    <row r="28" spans="1:14" s="21" customFormat="1" ht="68.25" customHeight="1">
      <c r="A28" s="14" t="s">
        <v>666</v>
      </c>
      <c r="B28" s="30" t="s">
        <v>221</v>
      </c>
      <c r="C28" s="30" t="s">
        <v>160</v>
      </c>
      <c r="D28" s="30" t="s">
        <v>94</v>
      </c>
      <c r="E28" s="30" t="s">
        <v>204</v>
      </c>
      <c r="F28" s="105">
        <f>G28+H28</f>
        <v>4425.6375</v>
      </c>
      <c r="G28" s="74"/>
      <c r="H28" s="74">
        <f>5410.6375-985</f>
        <v>4425.6375</v>
      </c>
      <c r="I28" s="105">
        <f>J28+K28</f>
        <v>5410.6375</v>
      </c>
      <c r="J28" s="74"/>
      <c r="K28" s="74">
        <v>5410.6375</v>
      </c>
      <c r="L28" s="105">
        <f>M28+N28</f>
        <v>5410.6375</v>
      </c>
      <c r="M28" s="74"/>
      <c r="N28" s="74">
        <v>5410.6375</v>
      </c>
    </row>
    <row r="29" spans="1:14" s="21" customFormat="1" ht="71.25" customHeight="1" hidden="1">
      <c r="A29" s="45" t="s">
        <v>183</v>
      </c>
      <c r="B29" s="30" t="s">
        <v>221</v>
      </c>
      <c r="C29" s="30" t="s">
        <v>160</v>
      </c>
      <c r="D29" s="30"/>
      <c r="E29" s="30"/>
      <c r="F29" s="105"/>
      <c r="G29" s="104"/>
      <c r="H29" s="74"/>
      <c r="I29" s="105"/>
      <c r="J29" s="104"/>
      <c r="K29" s="74"/>
      <c r="L29" s="105"/>
      <c r="M29" s="104"/>
      <c r="N29" s="74"/>
    </row>
    <row r="30" spans="1:14" s="21" customFormat="1" ht="69.75" customHeight="1">
      <c r="A30" s="14" t="s">
        <v>667</v>
      </c>
      <c r="B30" s="30" t="s">
        <v>221</v>
      </c>
      <c r="C30" s="30" t="s">
        <v>160</v>
      </c>
      <c r="D30" s="30" t="s">
        <v>71</v>
      </c>
      <c r="E30" s="30" t="s">
        <v>204</v>
      </c>
      <c r="F30" s="105">
        <f>G30+H30</f>
        <v>300</v>
      </c>
      <c r="G30" s="104"/>
      <c r="H30" s="74">
        <v>300</v>
      </c>
      <c r="I30" s="105">
        <f>J30+K30</f>
        <v>300</v>
      </c>
      <c r="J30" s="74"/>
      <c r="K30" s="74">
        <v>300</v>
      </c>
      <c r="L30" s="105">
        <f>M30+N30</f>
        <v>300</v>
      </c>
      <c r="M30" s="74"/>
      <c r="N30" s="74">
        <v>300</v>
      </c>
    </row>
    <row r="31" spans="1:14" ht="18" customHeight="1">
      <c r="A31" s="54" t="s">
        <v>236</v>
      </c>
      <c r="B31" s="3"/>
      <c r="C31" s="3"/>
      <c r="D31" s="3"/>
      <c r="E31" s="3"/>
      <c r="F31" s="100">
        <f>F15+F23+F25+F18+F20+F28+F30</f>
        <v>17616.90984</v>
      </c>
      <c r="G31" s="97">
        <f aca="true" t="shared" si="0" ref="G31:N31">G15+G23+G25+G18+G20+G28+G30</f>
        <v>901</v>
      </c>
      <c r="H31" s="97">
        <f t="shared" si="0"/>
        <v>16715.90984</v>
      </c>
      <c r="I31" s="100">
        <f t="shared" si="0"/>
        <v>20164.890919999998</v>
      </c>
      <c r="J31" s="97">
        <f t="shared" si="0"/>
        <v>831</v>
      </c>
      <c r="K31" s="97">
        <f t="shared" si="0"/>
        <v>19333.890919999998</v>
      </c>
      <c r="L31" s="100">
        <f t="shared" si="0"/>
        <v>20582.801339999998</v>
      </c>
      <c r="M31" s="97">
        <f t="shared" si="0"/>
        <v>831</v>
      </c>
      <c r="N31" s="56">
        <f t="shared" si="0"/>
        <v>19751.801339999998</v>
      </c>
    </row>
    <row r="32" spans="6:7" ht="15">
      <c r="F32" s="223"/>
      <c r="G32" s="166"/>
    </row>
    <row r="33" spans="1:8" ht="15">
      <c r="A33" s="7"/>
      <c r="B33" s="7"/>
      <c r="C33" s="167"/>
      <c r="D33" s="167"/>
      <c r="E33" s="167"/>
      <c r="F33" s="168"/>
      <c r="G33" s="160"/>
      <c r="H33" s="168"/>
    </row>
    <row r="34" spans="4:7" ht="15">
      <c r="D34" s="293"/>
      <c r="E34" s="293"/>
      <c r="F34" s="293"/>
      <c r="G34" s="160"/>
    </row>
  </sheetData>
  <sheetProtection/>
  <mergeCells count="22">
    <mergeCell ref="A10:A11"/>
    <mergeCell ref="B10:B11"/>
    <mergeCell ref="C10:C11"/>
    <mergeCell ref="D10:D11"/>
    <mergeCell ref="E10:E11"/>
    <mergeCell ref="F10:F11"/>
    <mergeCell ref="F2:H2"/>
    <mergeCell ref="F3:H3"/>
    <mergeCell ref="F4:H4"/>
    <mergeCell ref="G10:H10"/>
    <mergeCell ref="L10:L11"/>
    <mergeCell ref="D34:F34"/>
    <mergeCell ref="M10:N10"/>
    <mergeCell ref="L1:N1"/>
    <mergeCell ref="L2:N2"/>
    <mergeCell ref="L3:N3"/>
    <mergeCell ref="L4:N4"/>
    <mergeCell ref="I10:I11"/>
    <mergeCell ref="J10:K10"/>
    <mergeCell ref="A6:N6"/>
    <mergeCell ref="A7:N8"/>
    <mergeCell ref="F1:H1"/>
  </mergeCells>
  <printOptions/>
  <pageMargins left="0.7" right="0.7" top="0.75" bottom="0.75" header="0.3" footer="0.3"/>
  <pageSetup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sheetPr>
    <tabColor rgb="FFFF0000"/>
  </sheetPr>
  <dimension ref="A1:E21"/>
  <sheetViews>
    <sheetView tabSelected="1" view="pageBreakPreview" zoomScaleSheetLayoutView="100" workbookViewId="0" topLeftCell="A1">
      <selection activeCell="B2" sqref="B2"/>
    </sheetView>
  </sheetViews>
  <sheetFormatPr defaultColWidth="9.00390625" defaultRowHeight="12.75"/>
  <cols>
    <col min="1" max="1" width="52.875" style="174" customWidth="1"/>
    <col min="2" max="2" width="25.375" style="174" customWidth="1"/>
    <col min="3" max="16384" width="8.875" style="174" customWidth="1"/>
  </cols>
  <sheetData>
    <row r="1" spans="1:2" ht="17.25" customHeight="1">
      <c r="A1" s="122"/>
      <c r="B1" s="121" t="s">
        <v>997</v>
      </c>
    </row>
    <row r="2" spans="1:2" ht="15">
      <c r="A2" s="122"/>
      <c r="B2" s="121" t="s">
        <v>11</v>
      </c>
    </row>
    <row r="3" spans="1:2" ht="15">
      <c r="A3" s="122"/>
      <c r="B3" s="121" t="s">
        <v>12</v>
      </c>
    </row>
    <row r="4" spans="1:5" ht="18.75" customHeight="1">
      <c r="A4" s="289" t="s">
        <v>996</v>
      </c>
      <c r="B4" s="289"/>
      <c r="C4" s="298"/>
      <c r="D4" s="5"/>
      <c r="E4" s="5"/>
    </row>
    <row r="5" ht="22.5" customHeight="1"/>
    <row r="6" spans="1:2" ht="105" customHeight="1">
      <c r="A6" s="285" t="s">
        <v>924</v>
      </c>
      <c r="B6" s="285"/>
    </row>
    <row r="7" spans="1:2" ht="14.25" customHeight="1">
      <c r="A7" s="253"/>
      <c r="B7" s="253"/>
    </row>
    <row r="8" spans="1:2" ht="20.25" customHeight="1">
      <c r="A8" s="253"/>
      <c r="B8" s="299" t="s">
        <v>139</v>
      </c>
    </row>
    <row r="9" spans="1:2" ht="18.75" customHeight="1">
      <c r="A9" s="294" t="s">
        <v>4</v>
      </c>
      <c r="B9" s="294" t="s">
        <v>617</v>
      </c>
    </row>
    <row r="10" spans="1:2" ht="40.5" customHeight="1">
      <c r="A10" s="295"/>
      <c r="B10" s="295"/>
    </row>
    <row r="11" spans="1:2" ht="0.75" customHeight="1">
      <c r="A11" s="300" t="s">
        <v>6</v>
      </c>
      <c r="B11" s="301">
        <v>0</v>
      </c>
    </row>
    <row r="12" spans="1:2" ht="12.75" customHeight="1" hidden="1">
      <c r="A12" s="302"/>
      <c r="B12" s="303"/>
    </row>
    <row r="13" spans="1:4" ht="12.75" customHeight="1">
      <c r="A13" s="304" t="s">
        <v>922</v>
      </c>
      <c r="B13" s="296">
        <v>3439</v>
      </c>
      <c r="D13" s="194"/>
    </row>
    <row r="14" spans="1:4" ht="13.5" customHeight="1">
      <c r="A14" s="305"/>
      <c r="B14" s="297"/>
      <c r="D14" s="194"/>
    </row>
    <row r="15" spans="1:4" ht="18.75" customHeight="1">
      <c r="A15" s="306" t="s">
        <v>923</v>
      </c>
      <c r="B15" s="307">
        <f>1261-14.38831</f>
        <v>1246.61169</v>
      </c>
      <c r="D15" s="194"/>
    </row>
    <row r="16" spans="1:4" ht="1.5" customHeight="1" hidden="1">
      <c r="A16" s="304"/>
      <c r="B16" s="296"/>
      <c r="D16" s="194"/>
    </row>
    <row r="17" spans="1:4" ht="12.75" customHeight="1" hidden="1">
      <c r="A17" s="305"/>
      <c r="B17" s="297"/>
      <c r="D17" s="194"/>
    </row>
    <row r="18" spans="1:4" ht="12.75" customHeight="1" hidden="1">
      <c r="A18" s="304"/>
      <c r="B18" s="296"/>
      <c r="D18" s="194"/>
    </row>
    <row r="19" spans="1:4" ht="12.75" customHeight="1" hidden="1">
      <c r="A19" s="305"/>
      <c r="B19" s="297"/>
      <c r="D19" s="194"/>
    </row>
    <row r="20" spans="1:2" ht="23.25" customHeight="1">
      <c r="A20" s="187" t="s">
        <v>10</v>
      </c>
      <c r="B20" s="249">
        <f>SUM(B11:B19)</f>
        <v>4685.61169</v>
      </c>
    </row>
    <row r="21" spans="2:4" ht="17.25">
      <c r="B21" s="308"/>
      <c r="D21" s="194"/>
    </row>
  </sheetData>
  <sheetProtection/>
  <mergeCells count="12">
    <mergeCell ref="A13:A14"/>
    <mergeCell ref="B13:B14"/>
    <mergeCell ref="A16:A17"/>
    <mergeCell ref="B16:B17"/>
    <mergeCell ref="A18:A19"/>
    <mergeCell ref="B18:B19"/>
    <mergeCell ref="A4:B4"/>
    <mergeCell ref="A6:B6"/>
    <mergeCell ref="A9:A10"/>
    <mergeCell ref="B9:B10"/>
    <mergeCell ref="A11:A12"/>
    <mergeCell ref="B11: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Юля Игнатова</cp:lastModifiedBy>
  <cp:lastPrinted>2022-12-21T23:33:13Z</cp:lastPrinted>
  <dcterms:created xsi:type="dcterms:W3CDTF">2008-10-27T01:25:53Z</dcterms:created>
  <dcterms:modified xsi:type="dcterms:W3CDTF">2022-12-21T23:33:16Z</dcterms:modified>
  <cp:category/>
  <cp:version/>
  <cp:contentType/>
  <cp:contentStatus/>
</cp:coreProperties>
</file>